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prchalova\Desktop\Marcela Prchalová\Materiály RM a ZM\2024\Zastupitelstvo města\"/>
    </mc:Choice>
  </mc:AlternateContent>
  <bookViews>
    <workbookView xWindow="0" yWindow="0" windowWidth="28800" windowHeight="11610" activeTab="1"/>
  </bookViews>
  <sheets>
    <sheet name="Minimální síť 2025 Final" sheetId="1" r:id="rId1"/>
    <sheet name="obce 2024-2025 po změně" sheetId="2" r:id="rId2"/>
  </sheets>
  <definedNames>
    <definedName name="_xlnm.Print_Area" localSheetId="0">'Minimální síť 2025 Final'!$B$2:$S$34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2" l="1"/>
  <c r="F44" i="2" s="1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D100" i="1"/>
  <c r="H97" i="1"/>
  <c r="E106" i="1" s="1"/>
  <c r="H106" i="1" s="1"/>
  <c r="E95" i="1"/>
  <c r="E91" i="1"/>
  <c r="E87" i="1"/>
  <c r="E83" i="1"/>
  <c r="E79" i="1"/>
  <c r="E75" i="1"/>
  <c r="E71" i="1"/>
  <c r="L68" i="1"/>
  <c r="L67" i="1"/>
  <c r="L66" i="1"/>
  <c r="L65" i="1"/>
  <c r="L64" i="1"/>
  <c r="N64" i="1" s="1"/>
  <c r="N63" i="1"/>
  <c r="L63" i="1"/>
  <c r="E63" i="1"/>
  <c r="E62" i="1"/>
  <c r="L59" i="1"/>
  <c r="F82" i="1" s="1"/>
  <c r="N58" i="1"/>
  <c r="F94" i="1" s="1"/>
  <c r="E58" i="1"/>
  <c r="E57" i="1"/>
  <c r="E56" i="1"/>
  <c r="F47" i="1"/>
  <c r="H46" i="1"/>
  <c r="F46" i="1"/>
  <c r="F45" i="1"/>
  <c r="H43" i="1"/>
  <c r="K41" i="1"/>
  <c r="E96" i="1" s="1"/>
  <c r="K40" i="1"/>
  <c r="E98" i="1" s="1"/>
  <c r="H40" i="1"/>
  <c r="H37" i="1"/>
  <c r="E104" i="1" s="1"/>
  <c r="Q36" i="1"/>
  <c r="E108" i="1" s="1"/>
  <c r="S34" i="1"/>
  <c r="S36" i="1" s="1"/>
  <c r="E107" i="1" s="1"/>
  <c r="H107" i="1" s="1"/>
  <c r="J33" i="1"/>
  <c r="L33" i="1" s="1"/>
  <c r="J32" i="1"/>
  <c r="L32" i="1" s="1"/>
  <c r="N32" i="1" s="1"/>
  <c r="J31" i="1"/>
  <c r="L31" i="1" s="1"/>
  <c r="N31" i="1" s="1"/>
  <c r="L30" i="1"/>
  <c r="N30" i="1" s="1"/>
  <c r="J29" i="1"/>
  <c r="L29" i="1" s="1"/>
  <c r="N29" i="1" s="1"/>
  <c r="J28" i="1"/>
  <c r="L28" i="1" s="1"/>
  <c r="N28" i="1" s="1"/>
  <c r="L27" i="1"/>
  <c r="N27" i="1" s="1"/>
  <c r="L56" i="1" s="1"/>
  <c r="F90" i="1" s="1"/>
  <c r="J26" i="1"/>
  <c r="L26" i="1" s="1"/>
  <c r="N26" i="1" s="1"/>
  <c r="L57" i="1" s="1"/>
  <c r="F58" i="1" s="1"/>
  <c r="J25" i="1"/>
  <c r="L25" i="1" s="1"/>
  <c r="N25" i="1" s="1"/>
  <c r="L24" i="1"/>
  <c r="N24" i="1" s="1"/>
  <c r="J24" i="1"/>
  <c r="J23" i="1"/>
  <c r="L23" i="1" s="1"/>
  <c r="N23" i="1" s="1"/>
  <c r="J22" i="1"/>
  <c r="L22" i="1" s="1"/>
  <c r="N22" i="1" s="1"/>
  <c r="L60" i="1" s="1"/>
  <c r="N21" i="1"/>
  <c r="J21" i="1"/>
  <c r="L21" i="1" s="1"/>
  <c r="L20" i="1"/>
  <c r="N20" i="1" s="1"/>
  <c r="J20" i="1"/>
  <c r="L19" i="1"/>
  <c r="J19" i="1"/>
  <c r="J18" i="1"/>
  <c r="L18" i="1" s="1"/>
  <c r="N18" i="1" s="1"/>
  <c r="L17" i="1"/>
  <c r="N17" i="1" s="1"/>
  <c r="L58" i="1" s="1"/>
  <c r="N59" i="1" s="1"/>
  <c r="N16" i="1"/>
  <c r="L61" i="1" s="1"/>
  <c r="J16" i="1"/>
  <c r="L16" i="1" s="1"/>
  <c r="P16" i="1" s="1"/>
  <c r="J15" i="1"/>
  <c r="L15" i="1" s="1"/>
  <c r="R14" i="1"/>
  <c r="J14" i="1"/>
  <c r="L14" i="1" s="1"/>
  <c r="J13" i="1"/>
  <c r="L13" i="1" s="1"/>
  <c r="N13" i="1" s="1"/>
  <c r="J12" i="1"/>
  <c r="L12" i="1" s="1"/>
  <c r="N12" i="1" s="1"/>
  <c r="L11" i="1"/>
  <c r="N11" i="1" s="1"/>
  <c r="J11" i="1"/>
  <c r="J10" i="1"/>
  <c r="L10" i="1" s="1"/>
  <c r="N10" i="1" s="1"/>
  <c r="J9" i="1"/>
  <c r="L9" i="1" s="1"/>
  <c r="N9" i="1" s="1"/>
  <c r="J8" i="1"/>
  <c r="N7" i="1"/>
  <c r="L7" i="1"/>
  <c r="J7" i="1"/>
  <c r="L6" i="1"/>
  <c r="P6" i="1" l="1"/>
  <c r="F81" i="1"/>
  <c r="F63" i="1"/>
  <c r="G63" i="1" s="1"/>
  <c r="R19" i="1"/>
  <c r="N19" i="1"/>
  <c r="R33" i="1"/>
  <c r="N33" i="1"/>
  <c r="F84" i="1"/>
  <c r="G95" i="1"/>
  <c r="N6" i="1"/>
  <c r="J35" i="1"/>
  <c r="N15" i="1"/>
  <c r="R15" i="1"/>
  <c r="F93" i="1"/>
  <c r="F73" i="1"/>
  <c r="F69" i="1"/>
  <c r="F60" i="1"/>
  <c r="F62" i="1"/>
  <c r="G62" i="1" s="1"/>
  <c r="F56" i="1"/>
  <c r="F86" i="1"/>
  <c r="F74" i="1"/>
  <c r="F95" i="1"/>
  <c r="F75" i="1"/>
  <c r="N61" i="1"/>
  <c r="N60" i="1"/>
  <c r="F98" i="1" s="1"/>
  <c r="G56" i="1"/>
  <c r="G75" i="1"/>
  <c r="F80" i="1"/>
  <c r="L8" i="1"/>
  <c r="L55" i="1"/>
  <c r="P15" i="1"/>
  <c r="F76" i="1"/>
  <c r="R7" i="1"/>
  <c r="P7" i="1"/>
  <c r="P14" i="1"/>
  <c r="N14" i="1"/>
  <c r="G58" i="1"/>
  <c r="F72" i="1"/>
  <c r="F88" i="1"/>
  <c r="E59" i="1"/>
  <c r="E82" i="1"/>
  <c r="G82" i="1" s="1"/>
  <c r="E86" i="1"/>
  <c r="E90" i="1"/>
  <c r="G90" i="1" s="1"/>
  <c r="E94" i="1"/>
  <c r="G94" i="1" s="1"/>
  <c r="M37" i="1"/>
  <c r="E60" i="1"/>
  <c r="E65" i="1"/>
  <c r="E66" i="1"/>
  <c r="E67" i="1"/>
  <c r="E68" i="1"/>
  <c r="E69" i="1"/>
  <c r="G69" i="1" s="1"/>
  <c r="E73" i="1"/>
  <c r="G73" i="1" s="1"/>
  <c r="E77" i="1"/>
  <c r="E81" i="1"/>
  <c r="E85" i="1"/>
  <c r="E89" i="1"/>
  <c r="E93" i="1"/>
  <c r="G93" i="1" s="1"/>
  <c r="E64" i="1"/>
  <c r="E70" i="1"/>
  <c r="E74" i="1"/>
  <c r="G74" i="1" s="1"/>
  <c r="E78" i="1"/>
  <c r="E61" i="1"/>
  <c r="E72" i="1"/>
  <c r="G72" i="1" s="1"/>
  <c r="E76" i="1"/>
  <c r="G76" i="1" s="1"/>
  <c r="E80" i="1"/>
  <c r="G80" i="1" s="1"/>
  <c r="E84" i="1"/>
  <c r="E88" i="1"/>
  <c r="G88" i="1" s="1"/>
  <c r="E92" i="1"/>
  <c r="G59" i="1" l="1"/>
  <c r="G65" i="1"/>
  <c r="P8" i="1"/>
  <c r="N8" i="1"/>
  <c r="R8" i="1"/>
  <c r="F89" i="1"/>
  <c r="G89" i="1" s="1"/>
  <c r="F85" i="1"/>
  <c r="G85" i="1" s="1"/>
  <c r="F77" i="1"/>
  <c r="F68" i="1"/>
  <c r="F67" i="1"/>
  <c r="F66" i="1"/>
  <c r="G66" i="1" s="1"/>
  <c r="F65" i="1"/>
  <c r="F87" i="1"/>
  <c r="G87" i="1" s="1"/>
  <c r="F78" i="1"/>
  <c r="G78" i="1" s="1"/>
  <c r="F70" i="1"/>
  <c r="G70" i="1" s="1"/>
  <c r="F64" i="1"/>
  <c r="F59" i="1"/>
  <c r="F91" i="1"/>
  <c r="G91" i="1" s="1"/>
  <c r="F83" i="1"/>
  <c r="G83" i="1" s="1"/>
  <c r="F79" i="1"/>
  <c r="G79" i="1" s="1"/>
  <c r="F71" i="1"/>
  <c r="G71" i="1" s="1"/>
  <c r="F57" i="1"/>
  <c r="G57" i="1" s="1"/>
  <c r="F61" i="1"/>
  <c r="G61" i="1" s="1"/>
  <c r="G97" i="1" s="1"/>
  <c r="F92" i="1"/>
  <c r="F96" i="1"/>
  <c r="G96" i="1" s="1"/>
  <c r="G81" i="1"/>
  <c r="G60" i="1"/>
  <c r="E101" i="1"/>
  <c r="G92" i="1"/>
  <c r="L62" i="1"/>
  <c r="F99" i="1"/>
  <c r="G98" i="1" s="1"/>
  <c r="G101" i="1" s="1"/>
  <c r="G84" i="1"/>
  <c r="G64" i="1"/>
  <c r="G68" i="1"/>
  <c r="G86" i="1"/>
  <c r="F97" i="1"/>
  <c r="G77" i="1"/>
  <c r="G67" i="1"/>
  <c r="E97" i="1"/>
  <c r="L35" i="1"/>
  <c r="F101" i="1" l="1"/>
</calcChain>
</file>

<file path=xl/comments1.xml><?xml version="1.0" encoding="utf-8"?>
<comments xmlns="http://schemas.openxmlformats.org/spreadsheetml/2006/main">
  <authors>
    <author>Autor</author>
  </authors>
  <commentList>
    <comment ref="B107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bez CSS a PS Vracov, Bzenec, S-M
</t>
        </r>
      </text>
    </comment>
  </commentList>
</comments>
</file>

<file path=xl/sharedStrings.xml><?xml version="1.0" encoding="utf-8"?>
<sst xmlns="http://schemas.openxmlformats.org/spreadsheetml/2006/main" count="225" uniqueCount="167">
  <si>
    <t>Poskytovatel</t>
  </si>
  <si>
    <t>Poskytovaná služba</t>
  </si>
  <si>
    <t>Úvazky</t>
  </si>
  <si>
    <t>rozpočet na 2025</t>
  </si>
  <si>
    <t>% spoluúčast dle požadavku JMK</t>
  </si>
  <si>
    <t>garance částky dle % požadavku JMK</t>
  </si>
  <si>
    <t>% spoluúčast ORP Kyjov</t>
  </si>
  <si>
    <t>ORP Kyjov</t>
  </si>
  <si>
    <t>% spoluúčast ORP Hodonín</t>
  </si>
  <si>
    <t>ORP Hodonín</t>
  </si>
  <si>
    <t>% spoluúčast ORP V. n. Mor.</t>
  </si>
  <si>
    <t>ORP V. n. Mor.</t>
  </si>
  <si>
    <t>ORP Kyjov - zaokrouhleno</t>
  </si>
  <si>
    <t>Centrum pro rodinu a sociální péči Hodonín</t>
  </si>
  <si>
    <t>Denní stacionář - Vlaštovka</t>
  </si>
  <si>
    <t>Centrum pro sluchově postižené Hodonínsko, o.p.s.</t>
  </si>
  <si>
    <t>Sociální rehabilitace</t>
  </si>
  <si>
    <t>Tlumočnické služby</t>
  </si>
  <si>
    <t>Centrum sociálních služeb, p.o. města Kyjova</t>
  </si>
  <si>
    <t>Azylové domy - rodiny s dětmi</t>
  </si>
  <si>
    <t>Sociálně aktivizační služby pro rodiny s dětmi</t>
  </si>
  <si>
    <t>Denní stacionář</t>
  </si>
  <si>
    <t>Osobní asistence</t>
  </si>
  <si>
    <t>Pečovatelská služba</t>
  </si>
  <si>
    <t>Diecézní charita Brno</t>
  </si>
  <si>
    <t>Nízkoprahové denní centrum</t>
  </si>
  <si>
    <t>Noclehárna Hodonín</t>
  </si>
  <si>
    <t>Pečovatelská služba Šardice</t>
  </si>
  <si>
    <t>Pečovatelská služba Ždánice</t>
  </si>
  <si>
    <t>DOTYK II, o.p.s.</t>
  </si>
  <si>
    <t>Raná péče</t>
  </si>
  <si>
    <t>6 klientů</t>
  </si>
  <si>
    <t>Charita Kyjov</t>
  </si>
  <si>
    <t>Kontaktní centrum</t>
  </si>
  <si>
    <t>Odborné sociální poradenství</t>
  </si>
  <si>
    <t>Nízkoprahový klub Bárka</t>
  </si>
  <si>
    <t>Charitní pečovatelská služba Kyjov</t>
  </si>
  <si>
    <t>Pečovatelská služba Sv.-Mistřín</t>
  </si>
  <si>
    <t>Krok Kyjov, z.ú.</t>
  </si>
  <si>
    <t>Město Bzenec</t>
  </si>
  <si>
    <t>Pečovatelská služba Bzenec</t>
  </si>
  <si>
    <t>Město Vracov</t>
  </si>
  <si>
    <t>Pečovatelská služba Vracov</t>
  </si>
  <si>
    <t>Sociálně-psychiatrické centrum - Fénix, o.p.s.</t>
  </si>
  <si>
    <t>Global Partner Péče, z. ú.</t>
  </si>
  <si>
    <t>Odlehčovací služba</t>
  </si>
  <si>
    <t xml:space="preserve">Společnost pro ranou péči, pobočka Brno </t>
  </si>
  <si>
    <t>4 klienti</t>
  </si>
  <si>
    <t>Slezská diakonie</t>
  </si>
  <si>
    <t>Raná péče - Dorea</t>
  </si>
  <si>
    <t>8 klientů</t>
  </si>
  <si>
    <t>Charita Strážnice</t>
  </si>
  <si>
    <t>Sociálně terapeutické dílny, Kotva</t>
  </si>
  <si>
    <t>css</t>
  </si>
  <si>
    <t>min.síť</t>
  </si>
  <si>
    <r>
      <t>Celkové náklady na provoz "sítě" pro ORP Kyjov</t>
    </r>
    <r>
      <rPr>
        <sz val="12"/>
        <color theme="1"/>
        <rFont val="Calibri"/>
        <family val="2"/>
        <charset val="238"/>
      </rPr>
      <t>*</t>
    </r>
  </si>
  <si>
    <t>Celkové náklady bez CSS Kyjov, p.o. města Kyjova</t>
  </si>
  <si>
    <t>Z toho:</t>
  </si>
  <si>
    <r>
      <t>"Společný sociální fond"</t>
    </r>
    <r>
      <rPr>
        <sz val="12"/>
        <color theme="1"/>
        <rFont val="Calibri"/>
        <family val="2"/>
        <charset val="238"/>
      </rPr>
      <t>**</t>
    </r>
  </si>
  <si>
    <t xml:space="preserve">Z toho: </t>
  </si>
  <si>
    <t>3/5 město Kyjov</t>
  </si>
  <si>
    <t>2/5 spádové obce</t>
  </si>
  <si>
    <r>
      <t>"Pečovatelské služby"</t>
    </r>
    <r>
      <rPr>
        <sz val="12"/>
        <color theme="1"/>
        <rFont val="Calibri"/>
        <family val="2"/>
        <charset val="238"/>
      </rPr>
      <t>***</t>
    </r>
  </si>
  <si>
    <t>SLUŽBY ODBORNÉHO SOCIÁLNÍHO PORADENTVÍ</t>
  </si>
  <si>
    <t>SLUŽBY SOCIÁLNÍ PÉČE</t>
  </si>
  <si>
    <t>z toho PS</t>
  </si>
  <si>
    <t>SLUŽBY SOCIÁLNÍ PREVENCE</t>
  </si>
  <si>
    <t xml:space="preserve">* jde o povinné procentní spoluúčasti z předpokládaných reálných nákladů sociálních služeb působících na Kyjovsku, které byly vypočítány na základě metodiky Jihomoravského kraje </t>
  </si>
  <si>
    <t>** součet procentních spoluúčastí na provoz sociálních služeb působících v celém regionu Kyjovska (město Kyjov z toho hradí 3/5 a spádové obce 2/5) - jedná se o služby sociálního poradenství, péče i prevence</t>
  </si>
  <si>
    <t xml:space="preserve">*** součet procentních spoluúčastí na provoz lokálně působících služeb (pečovatelské služby + osobní asistence Centra sociálních služeb Kyjov, p.o. města Kyjova) </t>
  </si>
  <si>
    <t>obec</t>
  </si>
  <si>
    <t>počet obyvatel</t>
  </si>
  <si>
    <t>příspěvek do spol. soc. fondu</t>
  </si>
  <si>
    <t>příspěvek na PS</t>
  </si>
  <si>
    <t>příspěvek CELKEM</t>
  </si>
  <si>
    <t>Příspěvek zaokrouhlený na 100, příspěvek do sítě (bez PS Bzenec, S-M, Vracov)</t>
  </si>
  <si>
    <t>Příspěvek zřizovatele pro CSS, p.o. (PS+OA)</t>
  </si>
  <si>
    <t>Archlebov</t>
  </si>
  <si>
    <t>Příspěvek zřizovatele pro DPS Vracov</t>
  </si>
  <si>
    <t>Bukovany</t>
  </si>
  <si>
    <t>Příspěvek zřizovatele pro DPS Bzenec</t>
  </si>
  <si>
    <t>Bzenec</t>
  </si>
  <si>
    <t>bez PS</t>
  </si>
  <si>
    <t>Příspěvek pro PS Ždánice</t>
  </si>
  <si>
    <t>Z toho: 60% město Ždánice</t>
  </si>
  <si>
    <t>Čeložnice</t>
  </si>
  <si>
    <t>Příspěvek pro PS Svat.-Mistřín</t>
  </si>
  <si>
    <t>40% spádové obce</t>
  </si>
  <si>
    <t>Dambořice</t>
  </si>
  <si>
    <t>Příspěvek pro PS Charity Kyjov</t>
  </si>
  <si>
    <t>Z toho:3/5 město Kyjov</t>
  </si>
  <si>
    <t>Domanín</t>
  </si>
  <si>
    <t>Příspěvek pro PS Šardice</t>
  </si>
  <si>
    <t>Dražůvky</t>
  </si>
  <si>
    <t>Hovorany</t>
  </si>
  <si>
    <t>Počet obyvatel obcí užívající PS Ždánice</t>
  </si>
  <si>
    <t>Bez Ždánic</t>
  </si>
  <si>
    <t>Hýsly</t>
  </si>
  <si>
    <t>Počet obyvatel obcí užívající PS Charity Kyjov</t>
  </si>
  <si>
    <t xml:space="preserve">Bez ORP </t>
  </si>
  <si>
    <t>Ježov</t>
  </si>
  <si>
    <t>Počet obyvatel obcí užívající PS Šardice</t>
  </si>
  <si>
    <t>Kelčany</t>
  </si>
  <si>
    <t>Počet obyvatel obcí užívající PS Bzenec</t>
  </si>
  <si>
    <t>Kostelec</t>
  </si>
  <si>
    <t>Počet obyvatel obcí užívající PS Sv.-Mistřín</t>
  </si>
  <si>
    <t>Labuty</t>
  </si>
  <si>
    <t>Počet obyvatel obcí užívající PS Vracov</t>
  </si>
  <si>
    <t>Lovčice</t>
  </si>
  <si>
    <t>Milotice</t>
  </si>
  <si>
    <t>Moravany</t>
  </si>
  <si>
    <t>Mouchnice</t>
  </si>
  <si>
    <t>Rozdělení působnosti PS:</t>
  </si>
  <si>
    <t>Násedlovice</t>
  </si>
  <si>
    <t>Služba</t>
  </si>
  <si>
    <t>Působnost</t>
  </si>
  <si>
    <t>Nechvalín</t>
  </si>
  <si>
    <t>PS + OA CSS Kyjov</t>
  </si>
  <si>
    <t>Kyjov</t>
  </si>
  <si>
    <t>Nenkovice</t>
  </si>
  <si>
    <t>PS Bzenec</t>
  </si>
  <si>
    <t>Ostrovánky</t>
  </si>
  <si>
    <t>PS Svat.-Mistřín</t>
  </si>
  <si>
    <t>Svatobořice-Mistřín</t>
  </si>
  <si>
    <t>Skalka</t>
  </si>
  <si>
    <t>PS Vracov</t>
  </si>
  <si>
    <t>Vracov</t>
  </si>
  <si>
    <t>Skoronice</t>
  </si>
  <si>
    <t>PS Charita Kyjov</t>
  </si>
  <si>
    <t>Bukovany, Čeložnice, Domanín, Hýsly, Ježov, Kelčany, Kostelec, Kyjov, Labuty, Milotice, Moravany, Skalka, Skoronice, Sobůlky, Syrovín, Těmice, Vacenovice, Vlkoš, Vřesovice, Žádovice, Žeravice</t>
  </si>
  <si>
    <t>Sobůlky</t>
  </si>
  <si>
    <t>Stavěšice</t>
  </si>
  <si>
    <t>Strážovice</t>
  </si>
  <si>
    <t>Syrovín</t>
  </si>
  <si>
    <t>Šardice</t>
  </si>
  <si>
    <t>Těmice</t>
  </si>
  <si>
    <t>PS Šardice</t>
  </si>
  <si>
    <t>Hovorany, Stavěšice, Strážovice, Šardice</t>
  </si>
  <si>
    <t>Uhřice</t>
  </si>
  <si>
    <t>Vacenovice</t>
  </si>
  <si>
    <t>PS Ždánice</t>
  </si>
  <si>
    <t>Archlebov, Dambořice, Dražůvky, Lovčice, Mouchnice, Násedlovice, Nechvalín, Nenkovice, Ostrovánky, Uhřice, Věteřov, Žarošice, Ždánice, Želetice</t>
  </si>
  <si>
    <t>Věteřov</t>
  </si>
  <si>
    <t>Vlkoš</t>
  </si>
  <si>
    <t>Vřesovice</t>
  </si>
  <si>
    <t>Žádovice</t>
  </si>
  <si>
    <t>Žarošice</t>
  </si>
  <si>
    <t>Ždánice</t>
  </si>
  <si>
    <t>Želetice</t>
  </si>
  <si>
    <t>Žeravice</t>
  </si>
  <si>
    <t>Celkem spádové obce</t>
  </si>
  <si>
    <t>celkem bez ORP</t>
  </si>
  <si>
    <t>Celkem</t>
  </si>
  <si>
    <t>Celkové náklady minimální sítě</t>
  </si>
  <si>
    <t>(včetně PS Vracov, Bzenec, S-M a CSS)</t>
  </si>
  <si>
    <t>Příspěvek od obcí</t>
  </si>
  <si>
    <t>→</t>
  </si>
  <si>
    <t>rozdíl od roku 2024</t>
  </si>
  <si>
    <t>Minimální síť (dotační řízení Kyjov)</t>
  </si>
  <si>
    <t xml:space="preserve">CSS (OA, PS, DS,AD) příspěvek </t>
  </si>
  <si>
    <t>rozdíl 2024 a 2025</t>
  </si>
  <si>
    <t>původní návrh červen 2024</t>
  </si>
  <si>
    <t>původně na poradě starostů červen</t>
  </si>
  <si>
    <t>Návrh Minimální sítě sociálních služeb v ORP Kyjov pro rok 2025 final</t>
  </si>
  <si>
    <t>Spolufinancování obcí na sociální fond na rok 2025</t>
  </si>
  <si>
    <t>Financování "Minimální sítě sociálních služeb na Kyjovsku pro r. 2025"</t>
  </si>
  <si>
    <t>ZM_XIV_14_Příloha č. 2 - Návrh Minimální sítě soc. služeb Kyjovsko 2025 vč. financí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</si>
</sst>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_-* #,##0\ [$Kč-405]_-;\-* #,##0\ [$Kč-405]_-;_-* &quot;-&quot;\ [$Kč-405]_-;_-@_-"/>
    <numFmt numFmtId="166" formatCode="_-* #,##0.00\ [$Kč-405]_-;\-* #,##0.00\ [$Kč-405]_-;_-* &quot;-&quot;\ [$Kč-405]_-;_-@_-"/>
    <numFmt numFmtId="167" formatCode="_-* #,##0.00\ [$Kč-405]_-;\-* #,##0.00\ [$Kč-405]_-;_-* &quot;-&quot;??\ [$Kč-405]_-;_-@_-"/>
    <numFmt numFmtId="168" formatCode="_-* #,##0\ &quot;Kč&quot;_-;\-* #,##0\ &quot;Kč&quot;_-;_-* &quot;-&quot;??\ &quot;Kč&quot;_-;_-@_-"/>
    <numFmt numFmtId="169" formatCode="#,##0\ &quot;Kč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2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1">
    <xf numFmtId="0" fontId="0" fillId="0" borderId="0" xfId="0"/>
    <xf numFmtId="2" fontId="4" fillId="4" borderId="16" xfId="0" applyNumberFormat="1" applyFont="1" applyFill="1" applyBorder="1"/>
    <xf numFmtId="164" fontId="0" fillId="4" borderId="16" xfId="0" applyNumberFormat="1" applyFill="1" applyBorder="1"/>
    <xf numFmtId="10" fontId="0" fillId="4" borderId="16" xfId="0" applyNumberFormat="1" applyFill="1" applyBorder="1"/>
    <xf numFmtId="10" fontId="5" fillId="4" borderId="16" xfId="0" applyNumberFormat="1" applyFont="1" applyFill="1" applyBorder="1"/>
    <xf numFmtId="164" fontId="5" fillId="4" borderId="16" xfId="0" applyNumberFormat="1" applyFont="1" applyFill="1" applyBorder="1"/>
    <xf numFmtId="0" fontId="0" fillId="4" borderId="16" xfId="0" applyFill="1" applyBorder="1"/>
    <xf numFmtId="164" fontId="0" fillId="4" borderId="17" xfId="0" applyNumberFormat="1" applyFill="1" applyBorder="1"/>
    <xf numFmtId="2" fontId="0" fillId="5" borderId="19" xfId="0" applyNumberFormat="1" applyFill="1" applyBorder="1"/>
    <xf numFmtId="164" fontId="0" fillId="5" borderId="19" xfId="0" applyNumberFormat="1" applyFill="1" applyBorder="1"/>
    <xf numFmtId="10" fontId="0" fillId="5" borderId="19" xfId="0" applyNumberFormat="1" applyFill="1" applyBorder="1"/>
    <xf numFmtId="164" fontId="0" fillId="5" borderId="20" xfId="0" applyNumberFormat="1" applyFill="1" applyBorder="1"/>
    <xf numFmtId="10" fontId="5" fillId="5" borderId="19" xfId="0" applyNumberFormat="1" applyFont="1" applyFill="1" applyBorder="1"/>
    <xf numFmtId="164" fontId="5" fillId="5" borderId="19" xfId="0" applyNumberFormat="1" applyFont="1" applyFill="1" applyBorder="1"/>
    <xf numFmtId="164" fontId="0" fillId="5" borderId="21" xfId="0" applyNumberFormat="1" applyFill="1" applyBorder="1"/>
    <xf numFmtId="2" fontId="0" fillId="5" borderId="23" xfId="0" applyNumberFormat="1" applyFill="1" applyBorder="1"/>
    <xf numFmtId="164" fontId="0" fillId="5" borderId="23" xfId="0" applyNumberFormat="1" applyFill="1" applyBorder="1"/>
    <xf numFmtId="10" fontId="0" fillId="5" borderId="23" xfId="0" applyNumberFormat="1" applyFill="1" applyBorder="1"/>
    <xf numFmtId="10" fontId="5" fillId="5" borderId="23" xfId="0" applyNumberFormat="1" applyFont="1" applyFill="1" applyBorder="1"/>
    <xf numFmtId="164" fontId="5" fillId="5" borderId="24" xfId="0" applyNumberFormat="1" applyFont="1" applyFill="1" applyBorder="1"/>
    <xf numFmtId="164" fontId="0" fillId="5" borderId="24" xfId="0" applyNumberFormat="1" applyFill="1" applyBorder="1"/>
    <xf numFmtId="10" fontId="0" fillId="5" borderId="25" xfId="0" applyNumberFormat="1" applyFill="1" applyBorder="1"/>
    <xf numFmtId="164" fontId="0" fillId="5" borderId="26" xfId="0" applyNumberFormat="1" applyFill="1" applyBorder="1"/>
    <xf numFmtId="2" fontId="0" fillId="4" borderId="28" xfId="0" applyNumberFormat="1" applyFont="1" applyFill="1" applyBorder="1"/>
    <xf numFmtId="164" fontId="0" fillId="4" borderId="28" xfId="0" applyNumberFormat="1" applyFill="1" applyBorder="1"/>
    <xf numFmtId="10" fontId="0" fillId="4" borderId="28" xfId="0" applyNumberFormat="1" applyFont="1" applyFill="1" applyBorder="1"/>
    <xf numFmtId="164" fontId="0" fillId="4" borderId="29" xfId="0" applyNumberFormat="1" applyFill="1" applyBorder="1"/>
    <xf numFmtId="10" fontId="5" fillId="4" borderId="29" xfId="0" applyNumberFormat="1" applyFont="1" applyFill="1" applyBorder="1"/>
    <xf numFmtId="164" fontId="5" fillId="4" borderId="29" xfId="0" applyNumberFormat="1" applyFont="1" applyFill="1" applyBorder="1"/>
    <xf numFmtId="0" fontId="0" fillId="4" borderId="28" xfId="0" applyFill="1" applyBorder="1"/>
    <xf numFmtId="0" fontId="0" fillId="4" borderId="29" xfId="0" applyFill="1" applyBorder="1"/>
    <xf numFmtId="0" fontId="0" fillId="4" borderId="30" xfId="0" applyFill="1" applyBorder="1"/>
    <xf numFmtId="0" fontId="0" fillId="4" borderId="31" xfId="0" applyFont="1" applyFill="1" applyBorder="1" applyAlignment="1"/>
    <xf numFmtId="164" fontId="0" fillId="4" borderId="32" xfId="0" applyNumberFormat="1" applyFill="1" applyBorder="1"/>
    <xf numFmtId="10" fontId="5" fillId="4" borderId="19" xfId="0" applyNumberFormat="1" applyFont="1" applyFill="1" applyBorder="1"/>
    <xf numFmtId="164" fontId="5" fillId="4" borderId="19" xfId="0" applyNumberFormat="1" applyFont="1" applyFill="1" applyBorder="1"/>
    <xf numFmtId="0" fontId="0" fillId="4" borderId="19" xfId="0" applyFill="1" applyBorder="1"/>
    <xf numFmtId="0" fontId="0" fillId="4" borderId="33" xfId="0" applyFill="1" applyBorder="1"/>
    <xf numFmtId="0" fontId="0" fillId="4" borderId="34" xfId="0" applyFont="1" applyFill="1" applyBorder="1" applyAlignment="1"/>
    <xf numFmtId="164" fontId="0" fillId="4" borderId="24" xfId="0" applyNumberFormat="1" applyFill="1" applyBorder="1"/>
    <xf numFmtId="0" fontId="0" fillId="4" borderId="35" xfId="0" applyFill="1" applyBorder="1"/>
    <xf numFmtId="10" fontId="5" fillId="4" borderId="28" xfId="0" applyNumberFormat="1" applyFont="1" applyFill="1" applyBorder="1"/>
    <xf numFmtId="164" fontId="5" fillId="4" borderId="24" xfId="0" applyNumberFormat="1" applyFont="1" applyFill="1" applyBorder="1"/>
    <xf numFmtId="164" fontId="0" fillId="4" borderId="36" xfId="0" applyNumberFormat="1" applyFill="1" applyBorder="1"/>
    <xf numFmtId="164" fontId="0" fillId="4" borderId="23" xfId="0" applyNumberFormat="1" applyFill="1" applyBorder="1"/>
    <xf numFmtId="164" fontId="5" fillId="4" borderId="35" xfId="0" applyNumberFormat="1" applyFont="1" applyFill="1" applyBorder="1"/>
    <xf numFmtId="164" fontId="0" fillId="4" borderId="19" xfId="0" applyNumberFormat="1" applyFill="1" applyBorder="1"/>
    <xf numFmtId="164" fontId="0" fillId="4" borderId="26" xfId="0" applyNumberFormat="1" applyFill="1" applyBorder="1"/>
    <xf numFmtId="2" fontId="0" fillId="5" borderId="29" xfId="0" applyNumberFormat="1" applyFill="1" applyBorder="1"/>
    <xf numFmtId="164" fontId="0" fillId="5" borderId="29" xfId="0" applyNumberFormat="1" applyFill="1" applyBorder="1"/>
    <xf numFmtId="10" fontId="0" fillId="5" borderId="29" xfId="0" applyNumberFormat="1" applyFill="1" applyBorder="1"/>
    <xf numFmtId="10" fontId="5" fillId="5" borderId="20" xfId="0" applyNumberFormat="1" applyFont="1" applyFill="1" applyBorder="1"/>
    <xf numFmtId="164" fontId="5" fillId="5" borderId="20" xfId="0" applyNumberFormat="1" applyFont="1" applyFill="1" applyBorder="1"/>
    <xf numFmtId="10" fontId="0" fillId="5" borderId="20" xfId="0" applyNumberFormat="1" applyFill="1" applyBorder="1"/>
    <xf numFmtId="164" fontId="0" fillId="5" borderId="32" xfId="0" applyNumberFormat="1" applyFill="1" applyBorder="1"/>
    <xf numFmtId="2" fontId="0" fillId="5" borderId="28" xfId="0" applyNumberFormat="1" applyFill="1" applyBorder="1"/>
    <xf numFmtId="164" fontId="0" fillId="5" borderId="28" xfId="0" applyNumberFormat="1" applyFill="1" applyBorder="1"/>
    <xf numFmtId="10" fontId="0" fillId="5" borderId="28" xfId="0" applyNumberFormat="1" applyFill="1" applyBorder="1"/>
    <xf numFmtId="10" fontId="5" fillId="5" borderId="28" xfId="0" applyNumberFormat="1" applyFont="1" applyFill="1" applyBorder="1"/>
    <xf numFmtId="164" fontId="5" fillId="5" borderId="28" xfId="0" applyNumberFormat="1" applyFont="1" applyFill="1" applyBorder="1"/>
    <xf numFmtId="164" fontId="0" fillId="5" borderId="36" xfId="0" applyNumberFormat="1" applyFill="1" applyBorder="1"/>
    <xf numFmtId="0" fontId="0" fillId="5" borderId="28" xfId="0" applyFill="1" applyBorder="1"/>
    <xf numFmtId="2" fontId="4" fillId="6" borderId="23" xfId="0" applyNumberFormat="1" applyFont="1" applyFill="1" applyBorder="1"/>
    <xf numFmtId="164" fontId="0" fillId="6" borderId="23" xfId="0" applyNumberFormat="1" applyFill="1" applyBorder="1"/>
    <xf numFmtId="0" fontId="0" fillId="5" borderId="23" xfId="0" applyFill="1" applyBorder="1"/>
    <xf numFmtId="2" fontId="0" fillId="4" borderId="43" xfId="0" applyNumberFormat="1" applyFill="1" applyBorder="1"/>
    <xf numFmtId="10" fontId="0" fillId="6" borderId="16" xfId="0" applyNumberFormat="1" applyFill="1" applyBorder="1"/>
    <xf numFmtId="164" fontId="0" fillId="6" borderId="16" xfId="0" applyNumberFormat="1" applyFill="1" applyBorder="1"/>
    <xf numFmtId="10" fontId="5" fillId="4" borderId="16" xfId="0" applyNumberFormat="1" applyFont="1" applyFill="1" applyBorder="1" applyAlignment="1">
      <alignment horizontal="right"/>
    </xf>
    <xf numFmtId="0" fontId="0" fillId="4" borderId="16" xfId="0" applyFill="1" applyBorder="1" applyAlignment="1">
      <alignment horizontal="right"/>
    </xf>
    <xf numFmtId="164" fontId="0" fillId="4" borderId="44" xfId="0" applyNumberFormat="1" applyFill="1" applyBorder="1"/>
    <xf numFmtId="10" fontId="5" fillId="5" borderId="29" xfId="0" applyNumberFormat="1" applyFont="1" applyFill="1" applyBorder="1"/>
    <xf numFmtId="0" fontId="0" fillId="5" borderId="29" xfId="0" applyFill="1" applyBorder="1"/>
    <xf numFmtId="10" fontId="4" fillId="5" borderId="28" xfId="0" applyNumberFormat="1" applyFont="1" applyFill="1" applyBorder="1"/>
    <xf numFmtId="0" fontId="0" fillId="5" borderId="24" xfId="0" applyFill="1" applyBorder="1"/>
    <xf numFmtId="164" fontId="0" fillId="5" borderId="34" xfId="0" applyNumberFormat="1" applyFill="1" applyBorder="1"/>
    <xf numFmtId="164" fontId="5" fillId="5" borderId="35" xfId="0" applyNumberFormat="1" applyFont="1" applyFill="1" applyBorder="1"/>
    <xf numFmtId="0" fontId="0" fillId="5" borderId="35" xfId="0" applyFill="1" applyBorder="1"/>
    <xf numFmtId="2" fontId="0" fillId="4" borderId="29" xfId="0" applyNumberFormat="1" applyFill="1" applyBorder="1"/>
    <xf numFmtId="10" fontId="4" fillId="4" borderId="19" xfId="0" applyNumberFormat="1" applyFont="1" applyFill="1" applyBorder="1"/>
    <xf numFmtId="164" fontId="0" fillId="4" borderId="31" xfId="0" applyNumberFormat="1" applyFill="1" applyBorder="1"/>
    <xf numFmtId="2" fontId="0" fillId="4" borderId="25" xfId="0" applyNumberFormat="1" applyFill="1" applyBorder="1"/>
    <xf numFmtId="10" fontId="0" fillId="4" borderId="24" xfId="0" applyNumberFormat="1" applyFill="1" applyBorder="1"/>
    <xf numFmtId="10" fontId="5" fillId="4" borderId="24" xfId="0" applyNumberFormat="1" applyFont="1" applyFill="1" applyBorder="1"/>
    <xf numFmtId="0" fontId="0" fillId="4" borderId="24" xfId="0" applyFill="1" applyBorder="1"/>
    <xf numFmtId="2" fontId="0" fillId="5" borderId="16" xfId="0" applyNumberFormat="1" applyFill="1" applyBorder="1"/>
    <xf numFmtId="164" fontId="0" fillId="5" borderId="16" xfId="0" applyNumberFormat="1" applyFill="1" applyBorder="1"/>
    <xf numFmtId="10" fontId="0" fillId="5" borderId="16" xfId="0" applyNumberFormat="1" applyFill="1" applyBorder="1"/>
    <xf numFmtId="10" fontId="5" fillId="5" borderId="16" xfId="0" applyNumberFormat="1" applyFont="1" applyFill="1" applyBorder="1"/>
    <xf numFmtId="164" fontId="5" fillId="5" borderId="16" xfId="0" applyNumberFormat="1" applyFont="1" applyFill="1" applyBorder="1"/>
    <xf numFmtId="0" fontId="0" fillId="5" borderId="16" xfId="0" applyFill="1" applyBorder="1"/>
    <xf numFmtId="164" fontId="0" fillId="5" borderId="44" xfId="0" applyNumberFormat="1" applyFill="1" applyBorder="1"/>
    <xf numFmtId="2" fontId="4" fillId="6" borderId="16" xfId="0" applyNumberFormat="1" applyFont="1" applyFill="1" applyBorder="1"/>
    <xf numFmtId="2" fontId="0" fillId="5" borderId="35" xfId="0" applyNumberFormat="1" applyFill="1" applyBorder="1"/>
    <xf numFmtId="164" fontId="0" fillId="5" borderId="35" xfId="0" applyNumberFormat="1" applyFill="1" applyBorder="1"/>
    <xf numFmtId="10" fontId="0" fillId="5" borderId="35" xfId="0" applyNumberFormat="1" applyFill="1" applyBorder="1"/>
    <xf numFmtId="10" fontId="5" fillId="5" borderId="35" xfId="0" applyNumberFormat="1" applyFont="1" applyFill="1" applyBorder="1"/>
    <xf numFmtId="10" fontId="5" fillId="5" borderId="16" xfId="0" applyNumberFormat="1" applyFont="1" applyFill="1" applyBorder="1" applyAlignment="1">
      <alignment horizontal="right"/>
    </xf>
    <xf numFmtId="0" fontId="0" fillId="5" borderId="16" xfId="0" applyFill="1" applyBorder="1" applyAlignment="1">
      <alignment horizontal="right"/>
    </xf>
    <xf numFmtId="164" fontId="0" fillId="5" borderId="17" xfId="0" applyNumberFormat="1" applyFill="1" applyBorder="1"/>
    <xf numFmtId="2" fontId="0" fillId="4" borderId="16" xfId="0" applyNumberFormat="1" applyFill="1" applyBorder="1"/>
    <xf numFmtId="164" fontId="5" fillId="4" borderId="25" xfId="0" applyNumberFormat="1" applyFont="1" applyFill="1" applyBorder="1"/>
    <xf numFmtId="164" fontId="7" fillId="0" borderId="0" xfId="0" applyNumberFormat="1" applyFont="1"/>
    <xf numFmtId="16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164" fontId="0" fillId="0" borderId="0" xfId="0" applyNumberFormat="1"/>
    <xf numFmtId="164" fontId="2" fillId="0" borderId="0" xfId="0" applyNumberFormat="1" applyFont="1" applyAlignment="1"/>
    <xf numFmtId="0" fontId="2" fillId="0" borderId="0" xfId="0" applyFont="1"/>
    <xf numFmtId="0" fontId="9" fillId="0" borderId="0" xfId="0" applyFont="1" applyAlignment="1">
      <alignment vertical="top"/>
    </xf>
    <xf numFmtId="164" fontId="11" fillId="0" borderId="0" xfId="0" applyNumberFormat="1" applyFont="1" applyFill="1" applyAlignment="1">
      <alignment horizontal="right" vertical="top"/>
    </xf>
    <xf numFmtId="164" fontId="2" fillId="4" borderId="14" xfId="0" applyNumberFormat="1" applyFont="1" applyFill="1" applyBorder="1"/>
    <xf numFmtId="164" fontId="11" fillId="0" borderId="0" xfId="0" applyNumberFormat="1" applyFont="1" applyFill="1" applyAlignment="1">
      <alignment vertical="top"/>
    </xf>
    <xf numFmtId="165" fontId="2" fillId="0" borderId="0" xfId="0" applyNumberFormat="1" applyFont="1" applyFill="1" applyAlignment="1">
      <alignment vertical="top"/>
    </xf>
    <xf numFmtId="166" fontId="11" fillId="0" borderId="0" xfId="0" applyNumberFormat="1" applyFont="1" applyFill="1" applyAlignment="1">
      <alignment horizontal="right" vertical="top"/>
    </xf>
    <xf numFmtId="166" fontId="0" fillId="0" borderId="0" xfId="0" applyNumberFormat="1" applyFont="1" applyFill="1" applyAlignment="1">
      <alignment vertical="top"/>
    </xf>
    <xf numFmtId="167" fontId="0" fillId="0" borderId="0" xfId="0" applyNumberFormat="1"/>
    <xf numFmtId="165" fontId="11" fillId="0" borderId="0" xfId="0" applyNumberFormat="1" applyFont="1" applyFill="1" applyAlignment="1">
      <alignment vertical="top"/>
    </xf>
    <xf numFmtId="0" fontId="0" fillId="0" borderId="0" xfId="0" applyAlignment="1">
      <alignment horizontal="left" vertical="top"/>
    </xf>
    <xf numFmtId="168" fontId="0" fillId="0" borderId="0" xfId="0" applyNumberFormat="1" applyAlignment="1">
      <alignment vertical="top"/>
    </xf>
    <xf numFmtId="169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  <xf numFmtId="164" fontId="0" fillId="0" borderId="0" xfId="0" applyNumberFormat="1" applyFont="1" applyAlignment="1">
      <alignment horizontal="right" vertical="center"/>
    </xf>
    <xf numFmtId="169" fontId="0" fillId="0" borderId="0" xfId="0" applyNumberFormat="1"/>
    <xf numFmtId="168" fontId="0" fillId="0" borderId="0" xfId="0" applyNumberFormat="1"/>
    <xf numFmtId="44" fontId="0" fillId="0" borderId="0" xfId="0" applyNumberFormat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166" fontId="0" fillId="0" borderId="28" xfId="0" applyNumberFormat="1" applyFont="1" applyFill="1" applyBorder="1" applyAlignment="1">
      <alignment vertical="center"/>
    </xf>
    <xf numFmtId="0" fontId="0" fillId="8" borderId="53" xfId="0" applyFill="1" applyBorder="1"/>
    <xf numFmtId="164" fontId="0" fillId="0" borderId="53" xfId="0" applyNumberFormat="1" applyBorder="1"/>
    <xf numFmtId="164" fontId="0" fillId="7" borderId="13" xfId="0" applyNumberFormat="1" applyFill="1" applyBorder="1"/>
    <xf numFmtId="0" fontId="14" fillId="9" borderId="28" xfId="0" applyFont="1" applyFill="1" applyBorder="1" applyAlignment="1">
      <alignment horizontal="left" vertical="top"/>
    </xf>
    <xf numFmtId="164" fontId="14" fillId="9" borderId="28" xfId="0" applyNumberFormat="1" applyFont="1" applyFill="1" applyBorder="1" applyAlignment="1">
      <alignment horizontal="right" vertical="top"/>
    </xf>
    <xf numFmtId="0" fontId="0" fillId="8" borderId="10" xfId="0" applyFill="1" applyBorder="1"/>
    <xf numFmtId="164" fontId="0" fillId="0" borderId="10" xfId="0" applyNumberFormat="1" applyBorder="1"/>
    <xf numFmtId="164" fontId="0" fillId="10" borderId="0" xfId="0" applyNumberFormat="1" applyFill="1" applyBorder="1"/>
    <xf numFmtId="0" fontId="0" fillId="11" borderId="28" xfId="0" applyFill="1" applyBorder="1" applyAlignment="1">
      <alignment horizontal="left" vertical="top"/>
    </xf>
    <xf numFmtId="166" fontId="0" fillId="11" borderId="28" xfId="0" applyNumberFormat="1" applyFont="1" applyFill="1" applyBorder="1" applyAlignment="1">
      <alignment vertical="top"/>
    </xf>
    <xf numFmtId="164" fontId="0" fillId="11" borderId="13" xfId="0" applyNumberFormat="1" applyFill="1" applyBorder="1"/>
    <xf numFmtId="166" fontId="0" fillId="7" borderId="28" xfId="0" applyNumberFormat="1" applyFont="1" applyFill="1" applyBorder="1" applyAlignment="1">
      <alignment vertical="top"/>
    </xf>
    <xf numFmtId="0" fontId="15" fillId="7" borderId="33" xfId="0" applyFont="1" applyFill="1" applyBorder="1"/>
    <xf numFmtId="167" fontId="15" fillId="7" borderId="54" xfId="0" applyNumberFormat="1" applyFont="1" applyFill="1" applyBorder="1"/>
    <xf numFmtId="166" fontId="0" fillId="12" borderId="28" xfId="0" applyNumberFormat="1" applyFont="1" applyFill="1" applyBorder="1" applyAlignment="1">
      <alignment vertical="top"/>
    </xf>
    <xf numFmtId="0" fontId="0" fillId="0" borderId="55" xfId="0" applyBorder="1" applyAlignment="1">
      <alignment horizontal="right"/>
    </xf>
    <xf numFmtId="167" fontId="0" fillId="0" borderId="48" xfId="0" applyNumberFormat="1" applyBorder="1"/>
    <xf numFmtId="166" fontId="0" fillId="10" borderId="28" xfId="0" applyNumberFormat="1" applyFont="1" applyFill="1" applyBorder="1" applyAlignment="1">
      <alignment vertical="top"/>
    </xf>
    <xf numFmtId="0" fontId="0" fillId="10" borderId="33" xfId="0" applyFill="1" applyBorder="1"/>
    <xf numFmtId="164" fontId="0" fillId="10" borderId="54" xfId="0" applyNumberFormat="1" applyFill="1" applyBorder="1"/>
    <xf numFmtId="166" fontId="0" fillId="13" borderId="28" xfId="0" applyNumberFormat="1" applyFont="1" applyFill="1" applyBorder="1" applyAlignment="1">
      <alignment vertical="top"/>
    </xf>
    <xf numFmtId="164" fontId="0" fillId="0" borderId="48" xfId="0" applyNumberFormat="1" applyBorder="1"/>
    <xf numFmtId="166" fontId="2" fillId="0" borderId="0" xfId="0" applyNumberFormat="1" applyFont="1"/>
    <xf numFmtId="164" fontId="0" fillId="13" borderId="0" xfId="0" applyNumberFormat="1" applyFill="1" applyBorder="1"/>
    <xf numFmtId="0" fontId="0" fillId="7" borderId="28" xfId="0" applyFill="1" applyBorder="1" applyAlignment="1">
      <alignment horizontal="left"/>
    </xf>
    <xf numFmtId="0" fontId="0" fillId="7" borderId="28" xfId="0" applyFill="1" applyBorder="1"/>
    <xf numFmtId="0" fontId="0" fillId="0" borderId="28" xfId="0" applyFill="1" applyBorder="1" applyAlignment="1">
      <alignment horizontal="right"/>
    </xf>
    <xf numFmtId="0" fontId="0" fillId="0" borderId="28" xfId="0" applyBorder="1"/>
    <xf numFmtId="164" fontId="0" fillId="10" borderId="13" xfId="0" applyNumberFormat="1" applyFill="1" applyBorder="1"/>
    <xf numFmtId="0" fontId="0" fillId="10" borderId="28" xfId="0" applyFill="1" applyBorder="1" applyAlignment="1">
      <alignment horizontal="left"/>
    </xf>
    <xf numFmtId="0" fontId="0" fillId="10" borderId="28" xfId="0" applyFill="1" applyBorder="1"/>
    <xf numFmtId="0" fontId="0" fillId="0" borderId="28" xfId="0" applyBorder="1" applyAlignment="1">
      <alignment horizontal="right"/>
    </xf>
    <xf numFmtId="0" fontId="0" fillId="13" borderId="28" xfId="0" applyFill="1" applyBorder="1" applyAlignment="1">
      <alignment horizontal="left"/>
    </xf>
    <xf numFmtId="0" fontId="0" fillId="13" borderId="28" xfId="0" applyFill="1" applyBorder="1"/>
    <xf numFmtId="0" fontId="0" fillId="11" borderId="28" xfId="0" applyFill="1" applyBorder="1" applyAlignment="1">
      <alignment horizontal="left"/>
    </xf>
    <xf numFmtId="0" fontId="0" fillId="11" borderId="28" xfId="0" applyFill="1" applyBorder="1"/>
    <xf numFmtId="0" fontId="0" fillId="12" borderId="28" xfId="0" applyFill="1" applyBorder="1" applyAlignment="1">
      <alignment horizontal="left"/>
    </xf>
    <xf numFmtId="0" fontId="0" fillId="12" borderId="28" xfId="0" applyFill="1" applyBorder="1"/>
    <xf numFmtId="0" fontId="0" fillId="9" borderId="28" xfId="0" applyFill="1" applyBorder="1" applyAlignment="1">
      <alignment horizontal="left"/>
    </xf>
    <xf numFmtId="0" fontId="0" fillId="9" borderId="28" xfId="0" applyFill="1" applyBorder="1"/>
    <xf numFmtId="164" fontId="0" fillId="7" borderId="0" xfId="0" applyNumberFormat="1" applyFill="1" applyBorder="1"/>
    <xf numFmtId="0" fontId="0" fillId="0" borderId="47" xfId="0" applyBorder="1"/>
    <xf numFmtId="0" fontId="0" fillId="0" borderId="24" xfId="0" applyBorder="1"/>
    <xf numFmtId="0" fontId="0" fillId="0" borderId="0" xfId="0" applyFill="1"/>
    <xf numFmtId="164" fontId="0" fillId="13" borderId="13" xfId="0" applyNumberFormat="1" applyFill="1" applyBorder="1"/>
    <xf numFmtId="164" fontId="0" fillId="12" borderId="13" xfId="0" applyNumberFormat="1" applyFill="1" applyBorder="1"/>
    <xf numFmtId="164" fontId="0" fillId="9" borderId="13" xfId="0" applyNumberFormat="1" applyFill="1" applyBorder="1"/>
    <xf numFmtId="164" fontId="0" fillId="0" borderId="10" xfId="0" applyNumberFormat="1" applyFill="1" applyBorder="1"/>
    <xf numFmtId="164" fontId="0" fillId="0" borderId="0" xfId="0" applyNumberFormat="1" applyFill="1" applyBorder="1"/>
    <xf numFmtId="164" fontId="0" fillId="0" borderId="53" xfId="0" applyNumberFormat="1" applyFill="1" applyBorder="1"/>
    <xf numFmtId="0" fontId="0" fillId="0" borderId="0" xfId="0" applyFill="1" applyBorder="1"/>
    <xf numFmtId="164" fontId="0" fillId="0" borderId="0" xfId="0" applyNumberFormat="1" applyAlignment="1">
      <alignment horizontal="left"/>
    </xf>
    <xf numFmtId="164" fontId="2" fillId="0" borderId="0" xfId="0" applyNumberFormat="1" applyFont="1" applyAlignment="1">
      <alignment horizontal="right"/>
    </xf>
    <xf numFmtId="164" fontId="0" fillId="10" borderId="38" xfId="0" applyNumberFormat="1" applyFill="1" applyBorder="1"/>
    <xf numFmtId="0" fontId="0" fillId="0" borderId="0" xfId="0" applyAlignment="1">
      <alignment horizontal="left"/>
    </xf>
    <xf numFmtId="164" fontId="0" fillId="0" borderId="6" xfId="0" applyNumberFormat="1" applyBorder="1"/>
    <xf numFmtId="164" fontId="2" fillId="0" borderId="0" xfId="0" applyNumberFormat="1" applyFon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left" wrapText="1"/>
    </xf>
    <xf numFmtId="164" fontId="0" fillId="0" borderId="28" xfId="0" applyNumberFormat="1" applyBorder="1" applyAlignment="1">
      <alignment horizontal="center"/>
    </xf>
    <xf numFmtId="164" fontId="0" fillId="0" borderId="28" xfId="0" applyNumberFormat="1" applyBorder="1"/>
    <xf numFmtId="0" fontId="0" fillId="0" borderId="53" xfId="0" applyBorder="1" applyAlignment="1">
      <alignment horizontal="center"/>
    </xf>
    <xf numFmtId="164" fontId="11" fillId="0" borderId="4" xfId="0" applyNumberFormat="1" applyFont="1" applyFill="1" applyBorder="1" applyAlignment="1">
      <alignment horizontal="right" vertical="top"/>
    </xf>
    <xf numFmtId="164" fontId="16" fillId="0" borderId="0" xfId="0" applyNumberFormat="1" applyFont="1" applyBorder="1" applyAlignment="1">
      <alignment horizontal="center"/>
    </xf>
    <xf numFmtId="0" fontId="0" fillId="0" borderId="0" xfId="0" applyBorder="1"/>
    <xf numFmtId="164" fontId="11" fillId="0" borderId="0" xfId="0" applyNumberFormat="1" applyFont="1" applyFill="1" applyBorder="1" applyAlignment="1">
      <alignment horizontal="right" vertical="top"/>
    </xf>
    <xf numFmtId="0" fontId="0" fillId="0" borderId="11" xfId="0" applyBorder="1" applyAlignment="1">
      <alignment wrapText="1"/>
    </xf>
    <xf numFmtId="164" fontId="11" fillId="0" borderId="53" xfId="0" applyNumberFormat="1" applyFont="1" applyFill="1" applyBorder="1" applyAlignment="1">
      <alignment horizontal="right" vertical="top"/>
    </xf>
    <xf numFmtId="164" fontId="16" fillId="0" borderId="12" xfId="0" applyNumberFormat="1" applyFont="1" applyBorder="1" applyAlignment="1">
      <alignment horizontal="center"/>
    </xf>
    <xf numFmtId="0" fontId="0" fillId="0" borderId="13" xfId="0" applyBorder="1"/>
    <xf numFmtId="164" fontId="11" fillId="0" borderId="14" xfId="0" applyNumberFormat="1" applyFont="1" applyFill="1" applyBorder="1" applyAlignment="1">
      <alignment horizontal="right" vertical="top"/>
    </xf>
    <xf numFmtId="164" fontId="11" fillId="0" borderId="11" xfId="0" applyNumberFormat="1" applyFont="1" applyFill="1" applyBorder="1" applyAlignment="1">
      <alignment horizontal="right" vertical="top"/>
    </xf>
    <xf numFmtId="164" fontId="16" fillId="0" borderId="6" xfId="0" applyNumberFormat="1" applyFont="1" applyBorder="1" applyAlignment="1">
      <alignment horizontal="center"/>
    </xf>
    <xf numFmtId="164" fontId="11" fillId="0" borderId="7" xfId="0" applyNumberFormat="1" applyFont="1" applyFill="1" applyBorder="1" applyAlignment="1">
      <alignment horizontal="right" vertical="top"/>
    </xf>
    <xf numFmtId="164" fontId="16" fillId="0" borderId="1" xfId="0" applyNumberFormat="1" applyFont="1" applyBorder="1" applyAlignment="1">
      <alignment horizontal="center"/>
    </xf>
    <xf numFmtId="0" fontId="0" fillId="0" borderId="2" xfId="0" applyFill="1" applyBorder="1"/>
    <xf numFmtId="164" fontId="11" fillId="0" borderId="2" xfId="0" applyNumberFormat="1" applyFont="1" applyFill="1" applyBorder="1" applyAlignment="1">
      <alignment horizontal="right" vertical="top"/>
    </xf>
    <xf numFmtId="0" fontId="2" fillId="0" borderId="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53" xfId="0" applyFont="1" applyBorder="1" applyAlignment="1">
      <alignment horizontal="center"/>
    </xf>
    <xf numFmtId="0" fontId="2" fillId="0" borderId="12" xfId="0" applyFont="1" applyBorder="1" applyAlignment="1">
      <alignment horizontal="center" wrapText="1"/>
    </xf>
    <xf numFmtId="0" fontId="2" fillId="0" borderId="53" xfId="0" applyFont="1" applyBorder="1" applyAlignment="1">
      <alignment horizontal="center" wrapText="1"/>
    </xf>
    <xf numFmtId="6" fontId="1" fillId="0" borderId="6" xfId="0" applyNumberFormat="1" applyFont="1" applyBorder="1" applyAlignment="1">
      <alignment horizontal="center" vertical="center" wrapText="1"/>
    </xf>
    <xf numFmtId="6" fontId="1" fillId="0" borderId="11" xfId="0" applyNumberFormat="1" applyFont="1" applyBorder="1" applyAlignment="1">
      <alignment horizontal="center" vertical="center" wrapText="1"/>
    </xf>
    <xf numFmtId="6" fontId="0" fillId="0" borderId="12" xfId="0" applyNumberFormat="1" applyBorder="1" applyAlignment="1">
      <alignment horizontal="right" vertical="top"/>
    </xf>
    <xf numFmtId="6" fontId="0" fillId="0" borderId="53" xfId="0" applyNumberFormat="1" applyBorder="1" applyAlignment="1">
      <alignment horizontal="right" vertical="top"/>
    </xf>
    <xf numFmtId="0" fontId="0" fillId="0" borderId="0" xfId="0" applyAlignment="1"/>
    <xf numFmtId="6" fontId="1" fillId="0" borderId="0" xfId="0" applyNumberFormat="1" applyFont="1" applyBorder="1" applyAlignment="1">
      <alignment horizontal="center" vertical="center" wrapText="1"/>
    </xf>
    <xf numFmtId="6" fontId="1" fillId="0" borderId="10" xfId="0" applyNumberFormat="1" applyFont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6" fontId="2" fillId="0" borderId="13" xfId="0" applyNumberFormat="1" applyFont="1" applyBorder="1"/>
    <xf numFmtId="6" fontId="2" fillId="0" borderId="53" xfId="0" applyNumberFormat="1" applyFont="1" applyBorder="1"/>
    <xf numFmtId="6" fontId="2" fillId="0" borderId="12" xfId="0" applyNumberFormat="1" applyFont="1" applyBorder="1" applyAlignment="1">
      <alignment horizontal="right"/>
    </xf>
    <xf numFmtId="6" fontId="2" fillId="0" borderId="53" xfId="0" applyNumberFormat="1" applyFont="1" applyBorder="1" applyAlignment="1">
      <alignment horizontal="right"/>
    </xf>
    <xf numFmtId="0" fontId="19" fillId="0" borderId="0" xfId="0" applyFont="1" applyAlignment="1">
      <alignment vertical="top"/>
    </xf>
    <xf numFmtId="0" fontId="12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2" fillId="10" borderId="1" xfId="0" applyFont="1" applyFill="1" applyBorder="1" applyAlignment="1">
      <alignment horizontal="left" vertical="top"/>
    </xf>
    <xf numFmtId="0" fontId="2" fillId="10" borderId="2" xfId="0" applyFont="1" applyFill="1" applyBorder="1" applyAlignment="1">
      <alignment horizontal="left" vertical="top"/>
    </xf>
    <xf numFmtId="0" fontId="2" fillId="10" borderId="3" xfId="0" applyFont="1" applyFill="1" applyBorder="1" applyAlignment="1">
      <alignment horizontal="left" vertical="top"/>
    </xf>
    <xf numFmtId="0" fontId="13" fillId="10" borderId="12" xfId="0" applyFont="1" applyFill="1" applyBorder="1" applyAlignment="1">
      <alignment horizontal="center"/>
    </xf>
    <xf numFmtId="0" fontId="13" fillId="10" borderId="14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2" fillId="10" borderId="3" xfId="0" applyFont="1" applyFill="1" applyBorder="1" applyAlignment="1">
      <alignment horizontal="center" vertical="center"/>
    </xf>
    <xf numFmtId="0" fontId="2" fillId="10" borderId="5" xfId="0" applyFont="1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right" vertical="center"/>
    </xf>
    <xf numFmtId="0" fontId="2" fillId="8" borderId="11" xfId="0" applyFont="1" applyFill="1" applyBorder="1" applyAlignment="1">
      <alignment horizontal="right" vertical="center"/>
    </xf>
    <xf numFmtId="166" fontId="0" fillId="0" borderId="4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167" fontId="0" fillId="0" borderId="4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3" fillId="10" borderId="12" xfId="0" applyFont="1" applyFill="1" applyBorder="1" applyAlignment="1">
      <alignment horizontal="center" vertical="center"/>
    </xf>
    <xf numFmtId="0" fontId="13" fillId="10" borderId="14" xfId="0" applyFont="1" applyFill="1" applyBorder="1" applyAlignment="1">
      <alignment horizontal="center" vertical="center"/>
    </xf>
    <xf numFmtId="0" fontId="13" fillId="7" borderId="8" xfId="0" applyFont="1" applyFill="1" applyBorder="1" applyAlignment="1">
      <alignment horizontal="center"/>
    </xf>
    <xf numFmtId="0" fontId="13" fillId="7" borderId="9" xfId="0" applyFont="1" applyFill="1" applyBorder="1" applyAlignment="1">
      <alignment horizontal="center"/>
    </xf>
    <xf numFmtId="0" fontId="13" fillId="7" borderId="12" xfId="0" applyFont="1" applyFill="1" applyBorder="1" applyAlignment="1">
      <alignment horizontal="center"/>
    </xf>
    <xf numFmtId="0" fontId="13" fillId="7" borderId="14" xfId="0" applyFont="1" applyFill="1" applyBorder="1" applyAlignment="1">
      <alignment horizontal="center"/>
    </xf>
    <xf numFmtId="0" fontId="13" fillId="13" borderId="12" xfId="0" applyFont="1" applyFill="1" applyBorder="1" applyAlignment="1">
      <alignment horizontal="center"/>
    </xf>
    <xf numFmtId="0" fontId="13" fillId="13" borderId="14" xfId="0" applyFont="1" applyFill="1" applyBorder="1" applyAlignment="1">
      <alignment horizontal="center"/>
    </xf>
    <xf numFmtId="0" fontId="13" fillId="10" borderId="8" xfId="0" applyFont="1" applyFill="1" applyBorder="1" applyAlignment="1">
      <alignment horizontal="center"/>
    </xf>
    <xf numFmtId="0" fontId="13" fillId="10" borderId="9" xfId="0" applyFont="1" applyFill="1" applyBorder="1" applyAlignment="1">
      <alignment horizontal="center"/>
    </xf>
    <xf numFmtId="0" fontId="0" fillId="13" borderId="35" xfId="0" applyFill="1" applyBorder="1" applyAlignment="1">
      <alignment horizontal="center" vertical="center" wrapText="1"/>
    </xf>
    <xf numFmtId="0" fontId="0" fillId="13" borderId="19" xfId="0" applyFill="1" applyBorder="1" applyAlignment="1">
      <alignment horizontal="center" vertical="center" wrapText="1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167" fontId="0" fillId="0" borderId="8" xfId="0" applyNumberFormat="1" applyFill="1" applyBorder="1" applyAlignment="1">
      <alignment horizontal="center" vertical="center" wrapText="1"/>
    </xf>
    <xf numFmtId="0" fontId="0" fillId="13" borderId="33" xfId="0" applyFill="1" applyBorder="1" applyAlignment="1">
      <alignment horizontal="left" wrapText="1"/>
    </xf>
    <xf numFmtId="0" fontId="0" fillId="13" borderId="54" xfId="0" applyFill="1" applyBorder="1" applyAlignment="1">
      <alignment horizontal="left" wrapText="1"/>
    </xf>
    <xf numFmtId="0" fontId="0" fillId="13" borderId="55" xfId="0" applyFill="1" applyBorder="1" applyAlignment="1">
      <alignment horizontal="left" wrapText="1"/>
    </xf>
    <xf numFmtId="0" fontId="0" fillId="13" borderId="48" xfId="0" applyFill="1" applyBorder="1" applyAlignment="1">
      <alignment horizontal="left" wrapText="1"/>
    </xf>
    <xf numFmtId="0" fontId="0" fillId="7" borderId="28" xfId="0" applyFill="1" applyBorder="1" applyAlignment="1">
      <alignment horizontal="center" vertical="center" wrapText="1"/>
    </xf>
    <xf numFmtId="0" fontId="0" fillId="7" borderId="28" xfId="0" applyFill="1" applyBorder="1" applyAlignment="1">
      <alignment horizontal="left" vertical="top" wrapText="1"/>
    </xf>
    <xf numFmtId="0" fontId="0" fillId="9" borderId="30" xfId="0" applyFill="1" applyBorder="1" applyAlignment="1">
      <alignment horizontal="left"/>
    </xf>
    <xf numFmtId="0" fontId="0" fillId="9" borderId="42" xfId="0" applyFill="1" applyBorder="1" applyAlignment="1">
      <alignment horizontal="left"/>
    </xf>
    <xf numFmtId="0" fontId="0" fillId="10" borderId="35" xfId="0" applyFill="1" applyBorder="1" applyAlignment="1">
      <alignment horizontal="center" vertical="center"/>
    </xf>
    <xf numFmtId="0" fontId="0" fillId="10" borderId="24" xfId="0" applyFill="1" applyBorder="1" applyAlignment="1">
      <alignment horizontal="center" vertical="center"/>
    </xf>
    <xf numFmtId="0" fontId="0" fillId="10" borderId="19" xfId="0" applyFill="1" applyBorder="1" applyAlignment="1">
      <alignment horizontal="center" vertical="center"/>
    </xf>
    <xf numFmtId="0" fontId="0" fillId="10" borderId="33" xfId="0" applyFill="1" applyBorder="1" applyAlignment="1">
      <alignment horizontal="left" vertical="top" wrapText="1"/>
    </xf>
    <xf numFmtId="0" fontId="0" fillId="10" borderId="54" xfId="0" applyFill="1" applyBorder="1" applyAlignment="1">
      <alignment horizontal="left" vertical="top" wrapText="1"/>
    </xf>
    <xf numFmtId="0" fontId="0" fillId="10" borderId="56" xfId="0" applyFill="1" applyBorder="1" applyAlignment="1">
      <alignment horizontal="left" vertical="top" wrapText="1"/>
    </xf>
    <xf numFmtId="0" fontId="0" fillId="10" borderId="57" xfId="0" applyFill="1" applyBorder="1" applyAlignment="1">
      <alignment horizontal="left" vertical="top" wrapText="1"/>
    </xf>
    <xf numFmtId="0" fontId="0" fillId="10" borderId="55" xfId="0" applyFill="1" applyBorder="1" applyAlignment="1">
      <alignment horizontal="left" vertical="top" wrapText="1"/>
    </xf>
    <xf numFmtId="0" fontId="0" fillId="10" borderId="48" xfId="0" applyFill="1" applyBorder="1" applyAlignment="1">
      <alignment horizontal="left" vertical="top" wrapText="1"/>
    </xf>
    <xf numFmtId="0" fontId="13" fillId="13" borderId="8" xfId="0" applyFont="1" applyFill="1" applyBorder="1" applyAlignment="1">
      <alignment horizontal="center"/>
    </xf>
    <xf numFmtId="0" fontId="13" fillId="13" borderId="9" xfId="0" applyFont="1" applyFill="1" applyBorder="1" applyAlignment="1">
      <alignment horizontal="center"/>
    </xf>
    <xf numFmtId="0" fontId="13" fillId="12" borderId="12" xfId="0" applyFont="1" applyFill="1" applyBorder="1" applyAlignment="1">
      <alignment horizontal="center"/>
    </xf>
    <xf numFmtId="0" fontId="13" fillId="12" borderId="14" xfId="0" applyFont="1" applyFill="1" applyBorder="1" applyAlignment="1">
      <alignment horizontal="center"/>
    </xf>
    <xf numFmtId="0" fontId="13" fillId="10" borderId="8" xfId="0" applyFont="1" applyFill="1" applyBorder="1" applyAlignment="1">
      <alignment horizontal="center" vertical="center"/>
    </xf>
    <xf numFmtId="0" fontId="13" fillId="10" borderId="9" xfId="0" applyFont="1" applyFill="1" applyBorder="1" applyAlignment="1">
      <alignment horizontal="center" vertical="center"/>
    </xf>
    <xf numFmtId="0" fontId="13" fillId="9" borderId="12" xfId="0" applyFont="1" applyFill="1" applyBorder="1" applyAlignment="1">
      <alignment horizontal="center"/>
    </xf>
    <xf numFmtId="0" fontId="13" fillId="9" borderId="14" xfId="0" applyFont="1" applyFill="1" applyBorder="1" applyAlignment="1">
      <alignment horizontal="center"/>
    </xf>
    <xf numFmtId="0" fontId="0" fillId="0" borderId="33" xfId="0" applyBorder="1" applyAlignment="1">
      <alignment horizontal="left"/>
    </xf>
    <xf numFmtId="0" fontId="0" fillId="0" borderId="54" xfId="0" applyBorder="1" applyAlignment="1">
      <alignment horizontal="left"/>
    </xf>
    <xf numFmtId="0" fontId="0" fillId="11" borderId="30" xfId="0" applyFill="1" applyBorder="1" applyAlignment="1">
      <alignment horizontal="left"/>
    </xf>
    <xf numFmtId="0" fontId="0" fillId="11" borderId="42" xfId="0" applyFill="1" applyBorder="1" applyAlignment="1">
      <alignment horizontal="left"/>
    </xf>
    <xf numFmtId="0" fontId="0" fillId="12" borderId="30" xfId="0" applyFill="1" applyBorder="1" applyAlignment="1">
      <alignment horizontal="left"/>
    </xf>
    <xf numFmtId="0" fontId="0" fillId="12" borderId="42" xfId="0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12" borderId="28" xfId="0" applyFill="1" applyBorder="1" applyAlignment="1">
      <alignment horizontal="left" vertical="top"/>
    </xf>
    <xf numFmtId="0" fontId="0" fillId="10" borderId="28" xfId="0" applyFont="1" applyFill="1" applyBorder="1" applyAlignment="1">
      <alignment horizontal="left" vertical="top"/>
    </xf>
    <xf numFmtId="0" fontId="0" fillId="13" borderId="28" xfId="0" applyFont="1" applyFill="1" applyBorder="1" applyAlignment="1">
      <alignment horizontal="left" vertical="top"/>
    </xf>
    <xf numFmtId="0" fontId="2" fillId="0" borderId="51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13" fillId="11" borderId="12" xfId="0" applyFont="1" applyFill="1" applyBorder="1" applyAlignment="1">
      <alignment horizontal="center"/>
    </xf>
    <xf numFmtId="0" fontId="13" fillId="11" borderId="14" xfId="0" applyFont="1" applyFill="1" applyBorder="1" applyAlignment="1">
      <alignment horizontal="center"/>
    </xf>
    <xf numFmtId="0" fontId="0" fillId="7" borderId="30" xfId="0" applyFont="1" applyFill="1" applyBorder="1" applyAlignment="1">
      <alignment horizontal="left" vertical="top"/>
    </xf>
    <xf numFmtId="0" fontId="0" fillId="7" borderId="42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2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0" fillId="5" borderId="15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8" fillId="0" borderId="0" xfId="0" applyFont="1" applyAlignment="1">
      <alignment horizontal="left" vertical="top"/>
    </xf>
    <xf numFmtId="164" fontId="2" fillId="4" borderId="12" xfId="0" applyNumberFormat="1" applyFont="1" applyFill="1" applyBorder="1" applyAlignment="1">
      <alignment horizontal="left" vertical="top"/>
    </xf>
    <xf numFmtId="164" fontId="2" fillId="4" borderId="13" xfId="0" applyNumberFormat="1" applyFont="1" applyFill="1" applyBorder="1" applyAlignment="1">
      <alignment horizontal="left" vertical="top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/>
    </xf>
    <xf numFmtId="0" fontId="0" fillId="5" borderId="2" xfId="0" applyFill="1" applyBorder="1" applyAlignment="1">
      <alignment horizontal="left"/>
    </xf>
    <xf numFmtId="0" fontId="0" fillId="5" borderId="49" xfId="0" applyFill="1" applyBorder="1" applyAlignment="1">
      <alignment horizontal="left"/>
    </xf>
    <xf numFmtId="0" fontId="0" fillId="5" borderId="22" xfId="0" applyFill="1" applyBorder="1" applyAlignment="1">
      <alignment horizontal="left"/>
    </xf>
    <xf numFmtId="0" fontId="0" fillId="5" borderId="23" xfId="0" applyFill="1" applyBorder="1" applyAlignment="1">
      <alignment horizontal="left"/>
    </xf>
    <xf numFmtId="0" fontId="6" fillId="4" borderId="14" xfId="0" applyFont="1" applyFill="1" applyBorder="1" applyAlignment="1">
      <alignment horizontal="center" vertical="center"/>
    </xf>
    <xf numFmtId="0" fontId="0" fillId="4" borderId="12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4" borderId="50" xfId="0" applyFill="1" applyBorder="1" applyAlignment="1">
      <alignment horizontal="left"/>
    </xf>
    <xf numFmtId="0" fontId="6" fillId="5" borderId="12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0" fillId="5" borderId="12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5" borderId="50" xfId="0" applyFill="1" applyBorder="1" applyAlignment="1">
      <alignment horizontal="left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0" fillId="4" borderId="37" xfId="0" applyFill="1" applyBorder="1" applyAlignment="1">
      <alignment horizontal="left"/>
    </xf>
    <xf numFmtId="0" fontId="0" fillId="4" borderId="38" xfId="0" applyFill="1" applyBorder="1" applyAlignment="1">
      <alignment horizontal="left"/>
    </xf>
    <xf numFmtId="0" fontId="0" fillId="4" borderId="39" xfId="0" applyFill="1" applyBorder="1" applyAlignment="1">
      <alignment horizontal="left"/>
    </xf>
    <xf numFmtId="0" fontId="0" fillId="4" borderId="46" xfId="0" applyFill="1" applyBorder="1" applyAlignment="1">
      <alignment horizontal="left"/>
    </xf>
    <xf numFmtId="0" fontId="0" fillId="4" borderId="47" xfId="0" applyFill="1" applyBorder="1" applyAlignment="1">
      <alignment horizontal="left"/>
    </xf>
    <xf numFmtId="0" fontId="0" fillId="4" borderId="48" xfId="0" applyFill="1" applyBorder="1" applyAlignment="1">
      <alignment horizontal="left"/>
    </xf>
    <xf numFmtId="0" fontId="2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0" fillId="5" borderId="45" xfId="0" applyFill="1" applyBorder="1" applyAlignment="1">
      <alignment horizontal="left"/>
    </xf>
    <xf numFmtId="0" fontId="0" fillId="5" borderId="29" xfId="0" applyFill="1" applyBorder="1" applyAlignment="1">
      <alignment horizontal="left"/>
    </xf>
    <xf numFmtId="0" fontId="0" fillId="5" borderId="27" xfId="0" applyFill="1" applyBorder="1" applyAlignment="1">
      <alignment horizontal="left"/>
    </xf>
    <xf numFmtId="0" fontId="0" fillId="5" borderId="28" xfId="0" applyFill="1" applyBorder="1" applyAlignment="1">
      <alignment horizontal="left"/>
    </xf>
    <xf numFmtId="0" fontId="0" fillId="5" borderId="37" xfId="0" applyFill="1" applyBorder="1" applyAlignment="1">
      <alignment horizontal="left"/>
    </xf>
    <xf numFmtId="0" fontId="0" fillId="5" borderId="38" xfId="0" applyFill="1" applyBorder="1" applyAlignment="1">
      <alignment horizontal="left"/>
    </xf>
    <xf numFmtId="0" fontId="0" fillId="5" borderId="39" xfId="0" applyFill="1" applyBorder="1" applyAlignment="1">
      <alignment horizontal="left"/>
    </xf>
    <xf numFmtId="0" fontId="0" fillId="5" borderId="40" xfId="0" applyFill="1" applyBorder="1" applyAlignment="1">
      <alignment horizontal="left"/>
    </xf>
    <xf numFmtId="0" fontId="0" fillId="5" borderId="41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0" fontId="2" fillId="4" borderId="12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0" fillId="4" borderId="27" xfId="0" applyFont="1" applyFill="1" applyBorder="1" applyAlignment="1"/>
    <xf numFmtId="0" fontId="0" fillId="4" borderId="28" xfId="0" applyFont="1" applyFill="1" applyBorder="1" applyAlignment="1"/>
    <xf numFmtId="0" fontId="2" fillId="5" borderId="8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0" fillId="5" borderId="18" xfId="0" applyFill="1" applyBorder="1" applyAlignment="1"/>
    <xf numFmtId="0" fontId="0" fillId="5" borderId="19" xfId="0" applyFill="1" applyBorder="1" applyAlignment="1"/>
    <xf numFmtId="0" fontId="0" fillId="5" borderId="22" xfId="0" applyFill="1" applyBorder="1" applyAlignment="1"/>
    <xf numFmtId="0" fontId="0" fillId="5" borderId="23" xfId="0" applyFill="1" applyBorder="1" applyAlignment="1"/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0" fillId="4" borderId="15" xfId="0" applyFill="1" applyBorder="1" applyAlignment="1"/>
    <xf numFmtId="0" fontId="0" fillId="4" borderId="16" xfId="0" applyFill="1" applyBorder="1" applyAlignment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3" fillId="14" borderId="12" xfId="0" applyFont="1" applyFill="1" applyBorder="1" applyAlignment="1">
      <alignment horizontal="center"/>
    </xf>
    <xf numFmtId="0" fontId="13" fillId="14" borderId="1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09"/>
  <sheetViews>
    <sheetView zoomScale="60" zoomScaleNormal="60" workbookViewId="0">
      <selection activeCell="O108" sqref="B55:O108"/>
    </sheetView>
  </sheetViews>
  <sheetFormatPr defaultRowHeight="15" x14ac:dyDescent="0.25"/>
  <cols>
    <col min="4" max="4" width="16.5703125" customWidth="1"/>
    <col min="5" max="6" width="17.7109375" customWidth="1"/>
    <col min="7" max="7" width="20.42578125" customWidth="1"/>
    <col min="8" max="8" width="30.42578125" customWidth="1"/>
    <col min="10" max="10" width="23" customWidth="1"/>
    <col min="11" max="11" width="19.85546875" customWidth="1"/>
    <col min="12" max="12" width="18" customWidth="1"/>
    <col min="13" max="13" width="20.5703125" customWidth="1"/>
    <col min="14" max="14" width="18.140625" customWidth="1"/>
    <col min="15" max="15" width="17.28515625" customWidth="1"/>
    <col min="16" max="16" width="15.5703125" customWidth="1"/>
    <col min="17" max="17" width="17.85546875" customWidth="1"/>
    <col min="18" max="18" width="16.42578125" customWidth="1"/>
    <col min="19" max="19" width="20.85546875" customWidth="1"/>
  </cols>
  <sheetData>
    <row r="1" spans="2:19" ht="32.25" customHeight="1" x14ac:dyDescent="0.25">
      <c r="B1" s="227" t="s">
        <v>166</v>
      </c>
    </row>
    <row r="2" spans="2:19" ht="21" x14ac:dyDescent="0.35">
      <c r="B2" s="399" t="s">
        <v>163</v>
      </c>
      <c r="C2" s="399"/>
      <c r="D2" s="399"/>
      <c r="E2" s="399"/>
      <c r="F2" s="399"/>
      <c r="G2" s="399"/>
      <c r="H2" s="399"/>
      <c r="I2" s="399"/>
      <c r="J2" s="399"/>
    </row>
    <row r="3" spans="2:19" ht="15.75" thickBot="1" x14ac:dyDescent="0.3"/>
    <row r="4" spans="2:19" ht="15" customHeight="1" x14ac:dyDescent="0.25">
      <c r="B4" s="400" t="s">
        <v>0</v>
      </c>
      <c r="C4" s="401"/>
      <c r="D4" s="401"/>
      <c r="E4" s="402"/>
      <c r="F4" s="400" t="s">
        <v>1</v>
      </c>
      <c r="G4" s="401"/>
      <c r="H4" s="402"/>
      <c r="I4" s="397" t="s">
        <v>2</v>
      </c>
      <c r="J4" s="395" t="s">
        <v>3</v>
      </c>
      <c r="K4" s="395" t="s">
        <v>4</v>
      </c>
      <c r="L4" s="395" t="s">
        <v>5</v>
      </c>
      <c r="M4" s="395" t="s">
        <v>6</v>
      </c>
      <c r="N4" s="397" t="s">
        <v>7</v>
      </c>
      <c r="O4" s="395" t="s">
        <v>8</v>
      </c>
      <c r="P4" s="397" t="s">
        <v>9</v>
      </c>
      <c r="Q4" s="395" t="s">
        <v>10</v>
      </c>
      <c r="R4" s="397" t="s">
        <v>11</v>
      </c>
      <c r="S4" s="410" t="s">
        <v>12</v>
      </c>
    </row>
    <row r="5" spans="2:19" ht="29.25" customHeight="1" thickBot="1" x14ac:dyDescent="0.3">
      <c r="B5" s="403"/>
      <c r="C5" s="404"/>
      <c r="D5" s="404"/>
      <c r="E5" s="405"/>
      <c r="F5" s="406"/>
      <c r="G5" s="407"/>
      <c r="H5" s="408"/>
      <c r="I5" s="398"/>
      <c r="J5" s="396"/>
      <c r="K5" s="396"/>
      <c r="L5" s="396"/>
      <c r="M5" s="396"/>
      <c r="N5" s="398"/>
      <c r="O5" s="396"/>
      <c r="P5" s="398"/>
      <c r="Q5" s="396"/>
      <c r="R5" s="409"/>
      <c r="S5" s="411"/>
    </row>
    <row r="6" spans="2:19" ht="21.75" customHeight="1" thickBot="1" x14ac:dyDescent="0.3">
      <c r="B6" s="412" t="s">
        <v>13</v>
      </c>
      <c r="C6" s="413"/>
      <c r="D6" s="413"/>
      <c r="E6" s="414"/>
      <c r="F6" s="415" t="s">
        <v>14</v>
      </c>
      <c r="G6" s="416"/>
      <c r="H6" s="416"/>
      <c r="I6" s="1">
        <v>8.75</v>
      </c>
      <c r="J6" s="2">
        <v>6095461.6500000004</v>
      </c>
      <c r="K6" s="3">
        <v>0.06</v>
      </c>
      <c r="L6" s="2">
        <f>J6*K6</f>
        <v>365727.69900000002</v>
      </c>
      <c r="M6" s="4">
        <v>3.3E-3</v>
      </c>
      <c r="N6" s="5">
        <f>L6/K6*M6</f>
        <v>20115.023445000003</v>
      </c>
      <c r="O6" s="3">
        <v>5.67E-2</v>
      </c>
      <c r="P6" s="2">
        <f>L6/K6*O6</f>
        <v>345612.67555500002</v>
      </c>
      <c r="Q6" s="6"/>
      <c r="R6" s="7"/>
      <c r="S6" s="7">
        <v>20100</v>
      </c>
    </row>
    <row r="7" spans="2:19" x14ac:dyDescent="0.25">
      <c r="B7" s="389" t="s">
        <v>15</v>
      </c>
      <c r="C7" s="390"/>
      <c r="D7" s="390"/>
      <c r="E7" s="390"/>
      <c r="F7" s="391" t="s">
        <v>16</v>
      </c>
      <c r="G7" s="392"/>
      <c r="H7" s="392"/>
      <c r="I7" s="8">
        <v>3.85</v>
      </c>
      <c r="J7" s="9">
        <f>2754490.2*110%</f>
        <v>3029939.2200000007</v>
      </c>
      <c r="K7" s="10">
        <v>0.17</v>
      </c>
      <c r="L7" s="11">
        <f t="shared" ref="L7:L33" si="0">J7*K7</f>
        <v>515089.66740000015</v>
      </c>
      <c r="M7" s="12">
        <v>4.2700000000000002E-2</v>
      </c>
      <c r="N7" s="13">
        <f t="shared" ref="N7:N30" si="1">L7/K7*M7</f>
        <v>129378.40469400004</v>
      </c>
      <c r="O7" s="10">
        <v>4.6100000000000002E-2</v>
      </c>
      <c r="P7" s="9">
        <f>L7/K7*O7</f>
        <v>139680.19804200003</v>
      </c>
      <c r="Q7" s="10">
        <v>8.09E-2</v>
      </c>
      <c r="R7" s="14">
        <f>L7/K7*Q7</f>
        <v>245122.08289800005</v>
      </c>
      <c r="S7" s="14">
        <v>129300</v>
      </c>
    </row>
    <row r="8" spans="2:19" ht="15.75" thickBot="1" x14ac:dyDescent="0.3">
      <c r="B8" s="329"/>
      <c r="C8" s="330"/>
      <c r="D8" s="330"/>
      <c r="E8" s="330"/>
      <c r="F8" s="393" t="s">
        <v>17</v>
      </c>
      <c r="G8" s="394"/>
      <c r="H8" s="394"/>
      <c r="I8" s="15">
        <v>1.6</v>
      </c>
      <c r="J8" s="16">
        <f>1084108.8*110%</f>
        <v>1192519.6800000002</v>
      </c>
      <c r="K8" s="17">
        <v>0.17</v>
      </c>
      <c r="L8" s="16">
        <f t="shared" si="0"/>
        <v>202728.34560000003</v>
      </c>
      <c r="M8" s="18">
        <v>7.2800000000000004E-2</v>
      </c>
      <c r="N8" s="19">
        <f t="shared" si="1"/>
        <v>86815.432704000021</v>
      </c>
      <c r="O8" s="17">
        <v>8.1000000000000003E-2</v>
      </c>
      <c r="P8" s="20">
        <f>L8/K8*O8</f>
        <v>96594.09408000001</v>
      </c>
      <c r="Q8" s="21">
        <v>1.6199999999999999E-2</v>
      </c>
      <c r="R8" s="22">
        <f>L8/K8*Q8</f>
        <v>19318.818816000003</v>
      </c>
      <c r="S8" s="22">
        <v>86800</v>
      </c>
    </row>
    <row r="9" spans="2:19" x14ac:dyDescent="0.25">
      <c r="B9" s="378" t="s">
        <v>18</v>
      </c>
      <c r="C9" s="379"/>
      <c r="D9" s="379"/>
      <c r="E9" s="380"/>
      <c r="F9" s="387" t="s">
        <v>19</v>
      </c>
      <c r="G9" s="388"/>
      <c r="H9" s="388"/>
      <c r="I9" s="23">
        <v>1.5</v>
      </c>
      <c r="J9" s="24">
        <f>1184754.3*110%</f>
        <v>1303229.7300000002</v>
      </c>
      <c r="K9" s="25">
        <v>0.15</v>
      </c>
      <c r="L9" s="26">
        <f t="shared" si="0"/>
        <v>195484.45950000003</v>
      </c>
      <c r="M9" s="27">
        <v>0.15</v>
      </c>
      <c r="N9" s="28">
        <f t="shared" si="1"/>
        <v>195484.45950000003</v>
      </c>
      <c r="O9" s="29"/>
      <c r="P9" s="30"/>
      <c r="Q9" s="31"/>
      <c r="R9" s="32"/>
      <c r="S9" s="33">
        <v>195400</v>
      </c>
    </row>
    <row r="10" spans="2:19" x14ac:dyDescent="0.25">
      <c r="B10" s="381"/>
      <c r="C10" s="382"/>
      <c r="D10" s="382"/>
      <c r="E10" s="383"/>
      <c r="F10" s="387" t="s">
        <v>20</v>
      </c>
      <c r="G10" s="388"/>
      <c r="H10" s="388"/>
      <c r="I10" s="23">
        <v>2.1</v>
      </c>
      <c r="J10" s="24">
        <f>1529640*110%</f>
        <v>1682604.0000000002</v>
      </c>
      <c r="K10" s="25">
        <v>0.3</v>
      </c>
      <c r="L10" s="24">
        <f t="shared" si="0"/>
        <v>504781.20000000007</v>
      </c>
      <c r="M10" s="34">
        <v>0.3</v>
      </c>
      <c r="N10" s="35">
        <f t="shared" si="1"/>
        <v>504781.20000000007</v>
      </c>
      <c r="O10" s="36"/>
      <c r="P10" s="29"/>
      <c r="Q10" s="37"/>
      <c r="R10" s="38"/>
      <c r="S10" s="33">
        <v>504700</v>
      </c>
    </row>
    <row r="11" spans="2:19" ht="15" customHeight="1" x14ac:dyDescent="0.25">
      <c r="B11" s="381"/>
      <c r="C11" s="382"/>
      <c r="D11" s="382"/>
      <c r="E11" s="383"/>
      <c r="F11" s="387" t="s">
        <v>21</v>
      </c>
      <c r="G11" s="388"/>
      <c r="H11" s="388"/>
      <c r="I11" s="23">
        <v>6.4</v>
      </c>
      <c r="J11" s="24">
        <f>3661826.2*110%</f>
        <v>4028008.8200000003</v>
      </c>
      <c r="K11" s="25">
        <v>9.5000000000000001E-2</v>
      </c>
      <c r="L11" s="24">
        <f>J11*K11</f>
        <v>382660.83790000004</v>
      </c>
      <c r="M11" s="34">
        <v>9.5000000000000001E-2</v>
      </c>
      <c r="N11" s="35">
        <f t="shared" si="1"/>
        <v>382660.83790000004</v>
      </c>
      <c r="O11" s="36"/>
      <c r="P11" s="39"/>
      <c r="Q11" s="40"/>
      <c r="R11" s="33"/>
      <c r="S11" s="33">
        <v>382600</v>
      </c>
    </row>
    <row r="12" spans="2:19" x14ac:dyDescent="0.25">
      <c r="B12" s="381"/>
      <c r="C12" s="382"/>
      <c r="D12" s="382"/>
      <c r="E12" s="383"/>
      <c r="F12" s="387" t="s">
        <v>22</v>
      </c>
      <c r="G12" s="388"/>
      <c r="H12" s="388"/>
      <c r="I12" s="23">
        <v>2.8</v>
      </c>
      <c r="J12" s="24">
        <f>1848403.2*110%</f>
        <v>2033243.52</v>
      </c>
      <c r="K12" s="25">
        <v>9.5000000000000001E-2</v>
      </c>
      <c r="L12" s="24">
        <f t="shared" si="0"/>
        <v>193158.13440000001</v>
      </c>
      <c r="M12" s="41">
        <v>9.5000000000000001E-2</v>
      </c>
      <c r="N12" s="42">
        <f t="shared" si="1"/>
        <v>193158.13440000001</v>
      </c>
      <c r="O12" s="29"/>
      <c r="P12" s="24"/>
      <c r="Q12" s="29"/>
      <c r="R12" s="43"/>
      <c r="S12" s="43">
        <v>193100</v>
      </c>
    </row>
    <row r="13" spans="2:19" ht="15.75" thickBot="1" x14ac:dyDescent="0.3">
      <c r="B13" s="384"/>
      <c r="C13" s="385"/>
      <c r="D13" s="385"/>
      <c r="E13" s="386"/>
      <c r="F13" s="387" t="s">
        <v>23</v>
      </c>
      <c r="G13" s="388"/>
      <c r="H13" s="388"/>
      <c r="I13" s="23">
        <v>13.25</v>
      </c>
      <c r="J13" s="24">
        <f>7729036.2*110%</f>
        <v>8501939.8200000003</v>
      </c>
      <c r="K13" s="25">
        <v>0.22</v>
      </c>
      <c r="L13" s="44">
        <f t="shared" si="0"/>
        <v>1870426.7604</v>
      </c>
      <c r="M13" s="41">
        <v>0.22</v>
      </c>
      <c r="N13" s="45">
        <f t="shared" si="1"/>
        <v>1870426.7604</v>
      </c>
      <c r="O13" s="29"/>
      <c r="P13" s="46"/>
      <c r="Q13" s="36"/>
      <c r="R13" s="47"/>
      <c r="S13" s="47">
        <v>1870400</v>
      </c>
    </row>
    <row r="14" spans="2:19" x14ac:dyDescent="0.25">
      <c r="B14" s="360" t="s">
        <v>24</v>
      </c>
      <c r="C14" s="361"/>
      <c r="D14" s="361"/>
      <c r="E14" s="361"/>
      <c r="F14" s="370" t="s">
        <v>25</v>
      </c>
      <c r="G14" s="371"/>
      <c r="H14" s="372"/>
      <c r="I14" s="48">
        <v>2.52</v>
      </c>
      <c r="J14" s="49">
        <f>1729425.6*110%</f>
        <v>1902368.1600000001</v>
      </c>
      <c r="K14" s="50">
        <v>0.17</v>
      </c>
      <c r="L14" s="49">
        <f t="shared" si="0"/>
        <v>323402.58720000007</v>
      </c>
      <c r="M14" s="51">
        <v>7.4999999999999997E-3</v>
      </c>
      <c r="N14" s="52">
        <f t="shared" si="1"/>
        <v>14267.761200000001</v>
      </c>
      <c r="O14" s="53">
        <v>0.155</v>
      </c>
      <c r="P14" s="11">
        <f>L14/K14*O14</f>
        <v>294867.06479999999</v>
      </c>
      <c r="Q14" s="50">
        <v>7.4999999999999997E-3</v>
      </c>
      <c r="R14" s="54">
        <f>L14/K14*Q14</f>
        <v>14267.761200000001</v>
      </c>
      <c r="S14" s="54">
        <v>14200</v>
      </c>
    </row>
    <row r="15" spans="2:19" x14ac:dyDescent="0.25">
      <c r="B15" s="362"/>
      <c r="C15" s="363"/>
      <c r="D15" s="363"/>
      <c r="E15" s="363"/>
      <c r="F15" s="373" t="s">
        <v>26</v>
      </c>
      <c r="G15" s="374"/>
      <c r="H15" s="375"/>
      <c r="I15" s="55">
        <v>2.62</v>
      </c>
      <c r="J15" s="56">
        <f>1896963.4*110%</f>
        <v>2086659.74</v>
      </c>
      <c r="K15" s="57">
        <v>0.17</v>
      </c>
      <c r="L15" s="56">
        <f t="shared" si="0"/>
        <v>354732.15580000001</v>
      </c>
      <c r="M15" s="58">
        <v>1.04E-2</v>
      </c>
      <c r="N15" s="59">
        <f t="shared" si="1"/>
        <v>21701.261296000001</v>
      </c>
      <c r="O15" s="57">
        <v>0.1527</v>
      </c>
      <c r="P15" s="56">
        <f>L15/K15*O15</f>
        <v>318632.94229799998</v>
      </c>
      <c r="Q15" s="57">
        <v>6.8999999999999999E-3</v>
      </c>
      <c r="R15" s="60">
        <f>L15/K15*Q15</f>
        <v>14397.952206</v>
      </c>
      <c r="S15" s="60">
        <v>21700</v>
      </c>
    </row>
    <row r="16" spans="2:19" x14ac:dyDescent="0.25">
      <c r="B16" s="362"/>
      <c r="C16" s="363"/>
      <c r="D16" s="363"/>
      <c r="E16" s="363"/>
      <c r="F16" s="368" t="s">
        <v>27</v>
      </c>
      <c r="G16" s="369"/>
      <c r="H16" s="369"/>
      <c r="I16" s="55">
        <v>5.5</v>
      </c>
      <c r="J16" s="56">
        <f>2757455*110%</f>
        <v>3033200.5000000005</v>
      </c>
      <c r="K16" s="57">
        <v>0.2</v>
      </c>
      <c r="L16" s="56">
        <f t="shared" si="0"/>
        <v>606640.10000000009</v>
      </c>
      <c r="M16" s="58">
        <v>0.1583</v>
      </c>
      <c r="N16" s="59">
        <f t="shared" si="1"/>
        <v>480155.63915000006</v>
      </c>
      <c r="O16" s="57">
        <v>4.1700000000000001E-2</v>
      </c>
      <c r="P16" s="56">
        <f>L16/K16*O16</f>
        <v>126484.46085000002</v>
      </c>
      <c r="Q16" s="61"/>
      <c r="R16" s="60"/>
      <c r="S16" s="60">
        <v>480100</v>
      </c>
    </row>
    <row r="17" spans="2:19" ht="15.75" thickBot="1" x14ac:dyDescent="0.3">
      <c r="B17" s="364"/>
      <c r="C17" s="365"/>
      <c r="D17" s="365"/>
      <c r="E17" s="365"/>
      <c r="F17" s="334" t="s">
        <v>28</v>
      </c>
      <c r="G17" s="335"/>
      <c r="H17" s="335"/>
      <c r="I17" s="62">
        <v>7.4</v>
      </c>
      <c r="J17" s="63">
        <v>4447237</v>
      </c>
      <c r="K17" s="17">
        <v>0.2</v>
      </c>
      <c r="L17" s="63">
        <f t="shared" si="0"/>
        <v>889447.4</v>
      </c>
      <c r="M17" s="18">
        <v>0.2</v>
      </c>
      <c r="N17" s="19">
        <f t="shared" si="1"/>
        <v>889447.4</v>
      </c>
      <c r="O17" s="64"/>
      <c r="P17" s="9"/>
      <c r="Q17" s="64"/>
      <c r="R17" s="22"/>
      <c r="S17" s="22">
        <v>889400</v>
      </c>
    </row>
    <row r="18" spans="2:19" ht="15.75" thickBot="1" x14ac:dyDescent="0.3">
      <c r="B18" s="376" t="s">
        <v>29</v>
      </c>
      <c r="C18" s="377"/>
      <c r="D18" s="377"/>
      <c r="E18" s="377"/>
      <c r="F18" s="318" t="s">
        <v>30</v>
      </c>
      <c r="G18" s="319"/>
      <c r="H18" s="319"/>
      <c r="I18" s="65">
        <v>6.6</v>
      </c>
      <c r="J18" s="2">
        <f>2975808*110%</f>
        <v>3273388.8000000003</v>
      </c>
      <c r="K18" s="66">
        <v>0</v>
      </c>
      <c r="L18" s="67">
        <f t="shared" si="0"/>
        <v>0</v>
      </c>
      <c r="M18" s="68" t="s">
        <v>31</v>
      </c>
      <c r="N18" s="5">
        <f>L18/76*10</f>
        <v>0</v>
      </c>
      <c r="O18" s="69"/>
      <c r="P18" s="26"/>
      <c r="Q18" s="69"/>
      <c r="R18" s="70"/>
      <c r="S18" s="70">
        <v>0</v>
      </c>
    </row>
    <row r="19" spans="2:19" x14ac:dyDescent="0.25">
      <c r="B19" s="360" t="s">
        <v>32</v>
      </c>
      <c r="C19" s="361"/>
      <c r="D19" s="361"/>
      <c r="E19" s="361"/>
      <c r="F19" s="366" t="s">
        <v>33</v>
      </c>
      <c r="G19" s="367"/>
      <c r="H19" s="367"/>
      <c r="I19" s="48">
        <v>4.2</v>
      </c>
      <c r="J19" s="49">
        <f>2882376*110%</f>
        <v>3170613.6</v>
      </c>
      <c r="K19" s="50">
        <v>0.17</v>
      </c>
      <c r="L19" s="49">
        <f t="shared" si="0"/>
        <v>539004.31200000003</v>
      </c>
      <c r="M19" s="71">
        <v>0.121</v>
      </c>
      <c r="N19" s="19">
        <f t="shared" si="1"/>
        <v>383644.24560000002</v>
      </c>
      <c r="O19" s="72"/>
      <c r="P19" s="11"/>
      <c r="Q19" s="53">
        <v>4.9000000000000002E-2</v>
      </c>
      <c r="R19" s="54">
        <f>L19/K19*Q19</f>
        <v>155360.06640000001</v>
      </c>
      <c r="S19" s="54">
        <v>383600</v>
      </c>
    </row>
    <row r="20" spans="2:19" x14ac:dyDescent="0.25">
      <c r="B20" s="362"/>
      <c r="C20" s="363"/>
      <c r="D20" s="363"/>
      <c r="E20" s="363"/>
      <c r="F20" s="368" t="s">
        <v>34</v>
      </c>
      <c r="G20" s="369"/>
      <c r="H20" s="369"/>
      <c r="I20" s="55">
        <v>1</v>
      </c>
      <c r="J20" s="9">
        <f>945825*110%</f>
        <v>1040407.5000000001</v>
      </c>
      <c r="K20" s="73">
        <v>0.17</v>
      </c>
      <c r="L20" s="56">
        <f t="shared" si="0"/>
        <v>176869.27500000002</v>
      </c>
      <c r="M20" s="58">
        <v>0.17</v>
      </c>
      <c r="N20" s="59">
        <f t="shared" si="1"/>
        <v>176869.27500000002</v>
      </c>
      <c r="O20" s="61"/>
      <c r="P20" s="56"/>
      <c r="Q20" s="61"/>
      <c r="R20" s="60"/>
      <c r="S20" s="60">
        <v>176800</v>
      </c>
    </row>
    <row r="21" spans="2:19" x14ac:dyDescent="0.25">
      <c r="B21" s="362"/>
      <c r="C21" s="363"/>
      <c r="D21" s="363"/>
      <c r="E21" s="363"/>
      <c r="F21" s="368" t="s">
        <v>35</v>
      </c>
      <c r="G21" s="369"/>
      <c r="H21" s="369"/>
      <c r="I21" s="55">
        <v>3</v>
      </c>
      <c r="J21" s="56">
        <f>2058840*110%</f>
        <v>2264724</v>
      </c>
      <c r="K21" s="57">
        <v>0.27</v>
      </c>
      <c r="L21" s="56">
        <f t="shared" si="0"/>
        <v>611475.4800000001</v>
      </c>
      <c r="M21" s="58">
        <v>0.27</v>
      </c>
      <c r="N21" s="59">
        <f t="shared" si="1"/>
        <v>611475.4800000001</v>
      </c>
      <c r="O21" s="61"/>
      <c r="P21" s="20"/>
      <c r="Q21" s="74"/>
      <c r="R21" s="75"/>
      <c r="S21" s="75">
        <v>611400</v>
      </c>
    </row>
    <row r="22" spans="2:19" x14ac:dyDescent="0.25">
      <c r="B22" s="362"/>
      <c r="C22" s="363"/>
      <c r="D22" s="363"/>
      <c r="E22" s="363"/>
      <c r="F22" s="368" t="s">
        <v>36</v>
      </c>
      <c r="G22" s="369"/>
      <c r="H22" s="369"/>
      <c r="I22" s="55">
        <v>17.600000000000001</v>
      </c>
      <c r="J22" s="56">
        <f>10473167.9*110%</f>
        <v>11520484.690000001</v>
      </c>
      <c r="K22" s="57">
        <v>0.2</v>
      </c>
      <c r="L22" s="56">
        <f t="shared" si="0"/>
        <v>2304096.9380000005</v>
      </c>
      <c r="M22" s="58">
        <v>0.2</v>
      </c>
      <c r="N22" s="19">
        <f t="shared" si="1"/>
        <v>2304096.9380000005</v>
      </c>
      <c r="O22" s="61"/>
      <c r="P22" s="56"/>
      <c r="Q22" s="61"/>
      <c r="R22" s="60"/>
      <c r="S22" s="60">
        <v>2304000</v>
      </c>
    </row>
    <row r="23" spans="2:19" ht="15.75" thickBot="1" x14ac:dyDescent="0.3">
      <c r="B23" s="364"/>
      <c r="C23" s="365"/>
      <c r="D23" s="365"/>
      <c r="E23" s="365"/>
      <c r="F23" s="334" t="s">
        <v>37</v>
      </c>
      <c r="G23" s="335"/>
      <c r="H23" s="335"/>
      <c r="I23" s="15">
        <v>3</v>
      </c>
      <c r="J23" s="16">
        <f>1651644.3*110%</f>
        <v>1816808.7300000002</v>
      </c>
      <c r="K23" s="17">
        <v>0.2</v>
      </c>
      <c r="L23" s="16">
        <f t="shared" si="0"/>
        <v>363361.74600000004</v>
      </c>
      <c r="M23" s="18">
        <v>0.2</v>
      </c>
      <c r="N23" s="76">
        <f t="shared" si="1"/>
        <v>363361.74600000004</v>
      </c>
      <c r="O23" s="77"/>
      <c r="P23" s="20"/>
      <c r="Q23" s="74"/>
      <c r="R23" s="75"/>
      <c r="S23" s="75">
        <v>363300</v>
      </c>
    </row>
    <row r="24" spans="2:19" x14ac:dyDescent="0.25">
      <c r="B24" s="346" t="s">
        <v>38</v>
      </c>
      <c r="C24" s="347"/>
      <c r="D24" s="347"/>
      <c r="E24" s="348"/>
      <c r="F24" s="352" t="s">
        <v>34</v>
      </c>
      <c r="G24" s="353"/>
      <c r="H24" s="354"/>
      <c r="I24" s="78">
        <v>1.3</v>
      </c>
      <c r="J24" s="46">
        <f>1014858*110%</f>
        <v>1116343.8</v>
      </c>
      <c r="K24" s="79">
        <v>0.17</v>
      </c>
      <c r="L24" s="26">
        <f t="shared" si="0"/>
        <v>189778.44600000003</v>
      </c>
      <c r="M24" s="34">
        <v>0.17</v>
      </c>
      <c r="N24" s="28">
        <f t="shared" si="1"/>
        <v>189778.44600000003</v>
      </c>
      <c r="O24" s="30"/>
      <c r="P24" s="26"/>
      <c r="Q24" s="30"/>
      <c r="R24" s="80"/>
      <c r="S24" s="80">
        <v>189700</v>
      </c>
    </row>
    <row r="25" spans="2:19" ht="15.75" thickBot="1" x14ac:dyDescent="0.3">
      <c r="B25" s="349"/>
      <c r="C25" s="350"/>
      <c r="D25" s="350"/>
      <c r="E25" s="351"/>
      <c r="F25" s="355" t="s">
        <v>20</v>
      </c>
      <c r="G25" s="356"/>
      <c r="H25" s="357"/>
      <c r="I25" s="81">
        <v>3.48</v>
      </c>
      <c r="J25" s="39">
        <f>2444350*110%</f>
        <v>2688785</v>
      </c>
      <c r="K25" s="82">
        <v>0.27</v>
      </c>
      <c r="L25" s="44">
        <f t="shared" si="0"/>
        <v>725971.95000000007</v>
      </c>
      <c r="M25" s="83">
        <v>0.27</v>
      </c>
      <c r="N25" s="42">
        <f t="shared" si="1"/>
        <v>725971.95000000007</v>
      </c>
      <c r="O25" s="84"/>
      <c r="P25" s="46"/>
      <c r="Q25" s="84"/>
      <c r="R25" s="47"/>
      <c r="S25" s="47">
        <v>725900</v>
      </c>
    </row>
    <row r="26" spans="2:19" ht="15.75" thickBot="1" x14ac:dyDescent="0.3">
      <c r="B26" s="320" t="s">
        <v>39</v>
      </c>
      <c r="C26" s="321"/>
      <c r="D26" s="321"/>
      <c r="E26" s="321"/>
      <c r="F26" s="322" t="s">
        <v>40</v>
      </c>
      <c r="G26" s="323"/>
      <c r="H26" s="323"/>
      <c r="I26" s="85">
        <v>5</v>
      </c>
      <c r="J26" s="86">
        <f>3126480*110%</f>
        <v>3439128.0000000005</v>
      </c>
      <c r="K26" s="87">
        <v>0.2</v>
      </c>
      <c r="L26" s="86">
        <f t="shared" si="0"/>
        <v>687825.60000000009</v>
      </c>
      <c r="M26" s="88">
        <v>0.2</v>
      </c>
      <c r="N26" s="89">
        <f t="shared" si="1"/>
        <v>687825.60000000009</v>
      </c>
      <c r="O26" s="90"/>
      <c r="P26" s="49"/>
      <c r="Q26" s="90"/>
      <c r="R26" s="91"/>
      <c r="S26" s="91">
        <v>687800</v>
      </c>
    </row>
    <row r="27" spans="2:19" ht="15.75" thickBot="1" x14ac:dyDescent="0.3">
      <c r="B27" s="358" t="s">
        <v>41</v>
      </c>
      <c r="C27" s="359"/>
      <c r="D27" s="359"/>
      <c r="E27" s="359"/>
      <c r="F27" s="318" t="s">
        <v>42</v>
      </c>
      <c r="G27" s="319"/>
      <c r="H27" s="319"/>
      <c r="I27" s="92">
        <v>4.75</v>
      </c>
      <c r="J27" s="67">
        <v>3449253</v>
      </c>
      <c r="K27" s="3">
        <v>0.2</v>
      </c>
      <c r="L27" s="67">
        <f t="shared" si="0"/>
        <v>689850.60000000009</v>
      </c>
      <c r="M27" s="4">
        <v>0.2</v>
      </c>
      <c r="N27" s="5">
        <f t="shared" si="1"/>
        <v>689850.60000000009</v>
      </c>
      <c r="O27" s="6"/>
      <c r="P27" s="26"/>
      <c r="Q27" s="6"/>
      <c r="R27" s="70"/>
      <c r="S27" s="70">
        <v>689800</v>
      </c>
    </row>
    <row r="28" spans="2:19" x14ac:dyDescent="0.25">
      <c r="B28" s="327" t="s">
        <v>43</v>
      </c>
      <c r="C28" s="328"/>
      <c r="D28" s="328"/>
      <c r="E28" s="328"/>
      <c r="F28" s="331" t="s">
        <v>21</v>
      </c>
      <c r="G28" s="332"/>
      <c r="H28" s="333"/>
      <c r="I28" s="48">
        <v>1.8</v>
      </c>
      <c r="J28" s="49">
        <f>1269280.8*110%</f>
        <v>1396208.8800000001</v>
      </c>
      <c r="K28" s="50">
        <v>0.06</v>
      </c>
      <c r="L28" s="49">
        <f t="shared" si="0"/>
        <v>83772.532800000001</v>
      </c>
      <c r="M28" s="58">
        <v>0.06</v>
      </c>
      <c r="N28" s="13">
        <f t="shared" si="1"/>
        <v>83772.532800000001</v>
      </c>
      <c r="O28" s="50"/>
      <c r="P28" s="11"/>
      <c r="Q28" s="53"/>
      <c r="R28" s="54"/>
      <c r="S28" s="54">
        <v>83700</v>
      </c>
    </row>
    <row r="29" spans="2:19" ht="15.75" thickBot="1" x14ac:dyDescent="0.3">
      <c r="B29" s="329"/>
      <c r="C29" s="330"/>
      <c r="D29" s="330"/>
      <c r="E29" s="330"/>
      <c r="F29" s="334" t="s">
        <v>16</v>
      </c>
      <c r="G29" s="335"/>
      <c r="H29" s="335"/>
      <c r="I29" s="93">
        <v>3.7</v>
      </c>
      <c r="J29" s="94">
        <f>2635939.2*110%</f>
        <v>2899533.1200000006</v>
      </c>
      <c r="K29" s="95">
        <v>0.17</v>
      </c>
      <c r="L29" s="16">
        <f t="shared" si="0"/>
        <v>492920.63040000014</v>
      </c>
      <c r="M29" s="96">
        <v>0.17</v>
      </c>
      <c r="N29" s="76">
        <f t="shared" si="1"/>
        <v>492920.63040000014</v>
      </c>
      <c r="O29" s="77"/>
      <c r="P29" s="94"/>
      <c r="Q29" s="77"/>
      <c r="R29" s="54"/>
      <c r="S29" s="54">
        <v>429900</v>
      </c>
    </row>
    <row r="30" spans="2:19" ht="15.75" thickBot="1" x14ac:dyDescent="0.3">
      <c r="B30" s="316" t="s">
        <v>44</v>
      </c>
      <c r="C30" s="317"/>
      <c r="D30" s="317"/>
      <c r="E30" s="336"/>
      <c r="F30" s="337" t="s">
        <v>45</v>
      </c>
      <c r="G30" s="338"/>
      <c r="H30" s="339"/>
      <c r="I30" s="92">
        <v>4.2</v>
      </c>
      <c r="J30" s="67">
        <v>3162720</v>
      </c>
      <c r="K30" s="66">
        <v>0.06</v>
      </c>
      <c r="L30" s="67">
        <f>J30*K30</f>
        <v>189763.19999999998</v>
      </c>
      <c r="M30" s="68">
        <v>0.06</v>
      </c>
      <c r="N30" s="5">
        <f t="shared" si="1"/>
        <v>189763.19999999998</v>
      </c>
      <c r="O30" s="69"/>
      <c r="P30" s="2"/>
      <c r="Q30" s="69"/>
      <c r="R30" s="7"/>
      <c r="S30" s="7">
        <v>189700</v>
      </c>
    </row>
    <row r="31" spans="2:19" ht="15.75" thickBot="1" x14ac:dyDescent="0.3">
      <c r="B31" s="340" t="s">
        <v>46</v>
      </c>
      <c r="C31" s="341"/>
      <c r="D31" s="341"/>
      <c r="E31" s="342"/>
      <c r="F31" s="343" t="s">
        <v>30</v>
      </c>
      <c r="G31" s="344"/>
      <c r="H31" s="345"/>
      <c r="I31" s="85">
        <v>7.7</v>
      </c>
      <c r="J31" s="86">
        <f>4412672*110%</f>
        <v>4853939.2</v>
      </c>
      <c r="K31" s="66">
        <v>0</v>
      </c>
      <c r="L31" s="67">
        <f t="shared" si="0"/>
        <v>0</v>
      </c>
      <c r="M31" s="97" t="s">
        <v>47</v>
      </c>
      <c r="N31" s="89">
        <f>L31/136*6</f>
        <v>0</v>
      </c>
      <c r="O31" s="98"/>
      <c r="P31" s="86"/>
      <c r="Q31" s="98"/>
      <c r="R31" s="99"/>
      <c r="S31" s="99">
        <v>0</v>
      </c>
    </row>
    <row r="32" spans="2:19" ht="15.75" thickBot="1" x14ac:dyDescent="0.3">
      <c r="B32" s="316" t="s">
        <v>48</v>
      </c>
      <c r="C32" s="317"/>
      <c r="D32" s="317"/>
      <c r="E32" s="317"/>
      <c r="F32" s="318" t="s">
        <v>49</v>
      </c>
      <c r="G32" s="319"/>
      <c r="H32" s="319"/>
      <c r="I32" s="100">
        <v>8.42</v>
      </c>
      <c r="J32" s="2">
        <f>3637777.6*110%</f>
        <v>4001555.3600000003</v>
      </c>
      <c r="K32" s="66">
        <v>0</v>
      </c>
      <c r="L32" s="67">
        <f t="shared" si="0"/>
        <v>0</v>
      </c>
      <c r="M32" s="68" t="s">
        <v>50</v>
      </c>
      <c r="N32" s="101">
        <f>L32/118*11</f>
        <v>0</v>
      </c>
      <c r="O32" s="69"/>
      <c r="P32" s="2"/>
      <c r="Q32" s="69"/>
      <c r="R32" s="70"/>
      <c r="S32" s="70">
        <v>0</v>
      </c>
    </row>
    <row r="33" spans="2:19" ht="15.75" thickBot="1" x14ac:dyDescent="0.3">
      <c r="B33" s="320" t="s">
        <v>51</v>
      </c>
      <c r="C33" s="321"/>
      <c r="D33" s="321"/>
      <c r="E33" s="321"/>
      <c r="F33" s="322" t="s">
        <v>52</v>
      </c>
      <c r="G33" s="323"/>
      <c r="H33" s="323"/>
      <c r="I33" s="85">
        <v>2.5499999999999998</v>
      </c>
      <c r="J33" s="86">
        <f>2056320*110%</f>
        <v>2261952</v>
      </c>
      <c r="K33" s="87">
        <v>0.15</v>
      </c>
      <c r="L33" s="86">
        <f t="shared" si="0"/>
        <v>339292.8</v>
      </c>
      <c r="M33" s="88">
        <v>2.1399999999999999E-2</v>
      </c>
      <c r="N33" s="89">
        <f>L33/K33*M33</f>
        <v>48405.772799999999</v>
      </c>
      <c r="O33" s="87"/>
      <c r="P33" s="86"/>
      <c r="Q33" s="87">
        <v>0.12859999999999999</v>
      </c>
      <c r="R33" s="99">
        <f>L33/K33*Q33</f>
        <v>290887.02719999995</v>
      </c>
      <c r="S33" s="99">
        <v>48400</v>
      </c>
    </row>
    <row r="34" spans="2:19" ht="18.75" x14ac:dyDescent="0.3">
      <c r="S34" s="102">
        <f>SUM(S6:S33)</f>
        <v>11671800</v>
      </c>
    </row>
    <row r="35" spans="2:19" ht="18.75" x14ac:dyDescent="0.25">
      <c r="B35" s="324" t="s">
        <v>165</v>
      </c>
      <c r="C35" s="324"/>
      <c r="D35" s="324"/>
      <c r="E35" s="324"/>
      <c r="F35" s="324"/>
      <c r="G35" s="324"/>
      <c r="H35" s="324"/>
      <c r="I35" s="324"/>
      <c r="J35" s="103">
        <f>SUM(J6:J33)</f>
        <v>91692257.520000011</v>
      </c>
      <c r="K35" s="104"/>
      <c r="L35" s="103">
        <f>SUM(L6:L33)</f>
        <v>13798262.8574</v>
      </c>
      <c r="M35" s="105"/>
      <c r="N35" s="106"/>
    </row>
    <row r="36" spans="2:19" ht="15.75" thickBot="1" x14ac:dyDescent="0.3"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P36" s="107" t="s">
        <v>53</v>
      </c>
      <c r="Q36" s="105">
        <f>S13+S12+S11+S10+S9</f>
        <v>3146200</v>
      </c>
      <c r="R36" s="107" t="s">
        <v>54</v>
      </c>
      <c r="S36" s="105">
        <f>S34-S27-S26-S23-S13-S12-S11-S10-S9</f>
        <v>6784700</v>
      </c>
    </row>
    <row r="37" spans="2:19" ht="16.5" thickBot="1" x14ac:dyDescent="0.3">
      <c r="B37" s="108" t="s">
        <v>55</v>
      </c>
      <c r="C37" s="108"/>
      <c r="D37" s="108"/>
      <c r="E37" s="108"/>
      <c r="F37" s="108"/>
      <c r="G37" s="108"/>
      <c r="H37" s="109">
        <f>SUM(S6:S33)</f>
        <v>11671800</v>
      </c>
      <c r="I37" s="104"/>
      <c r="J37" s="325" t="s">
        <v>56</v>
      </c>
      <c r="K37" s="326"/>
      <c r="L37" s="326"/>
      <c r="M37" s="110">
        <f>H37-N11-N12-N13-N9-N10</f>
        <v>8525288.6077999994</v>
      </c>
      <c r="N37" s="105"/>
      <c r="O37" s="105"/>
    </row>
    <row r="38" spans="2:19" ht="15.75" x14ac:dyDescent="0.25">
      <c r="B38" s="108"/>
      <c r="C38" s="108"/>
      <c r="D38" s="108"/>
      <c r="E38" s="108"/>
      <c r="F38" s="108"/>
      <c r="G38" s="108"/>
      <c r="H38" s="111"/>
      <c r="I38" s="104"/>
      <c r="J38" s="104"/>
      <c r="K38" s="104"/>
      <c r="L38" s="104"/>
      <c r="M38" s="105"/>
    </row>
    <row r="39" spans="2:19" x14ac:dyDescent="0.25">
      <c r="B39" s="104" t="s">
        <v>57</v>
      </c>
      <c r="C39" s="104"/>
      <c r="D39" s="104"/>
      <c r="E39" s="104"/>
      <c r="F39" s="104"/>
      <c r="G39" s="104"/>
      <c r="H39" s="112"/>
      <c r="I39" s="104"/>
      <c r="J39" s="104"/>
      <c r="K39" s="104"/>
      <c r="L39" s="104"/>
      <c r="M39" s="105"/>
      <c r="Q39" s="105"/>
    </row>
    <row r="40" spans="2:19" ht="15.75" x14ac:dyDescent="0.25">
      <c r="B40" s="108" t="s">
        <v>58</v>
      </c>
      <c r="C40" s="108"/>
      <c r="D40" s="108"/>
      <c r="E40" s="108"/>
      <c r="F40" s="108"/>
      <c r="G40" s="108"/>
      <c r="H40" s="113">
        <f>S6+S7+S8+S9+S10+S11+S14+S15+S18+S19+S20+S21+S24+S25+S28+S29+S31+S32+S33+S30</f>
        <v>4193900</v>
      </c>
      <c r="I40" s="104" t="s">
        <v>59</v>
      </c>
      <c r="J40" s="104" t="s">
        <v>60</v>
      </c>
      <c r="K40" s="114">
        <f>(H40/5)*3</f>
        <v>2516340</v>
      </c>
      <c r="L40" s="115"/>
    </row>
    <row r="41" spans="2:19" ht="15.75" x14ac:dyDescent="0.25">
      <c r="B41" s="108"/>
      <c r="C41" s="108"/>
      <c r="D41" s="108"/>
      <c r="E41" s="108"/>
      <c r="F41" s="108"/>
      <c r="G41" s="108"/>
      <c r="H41" s="116"/>
      <c r="I41" s="104"/>
      <c r="J41" s="104" t="s">
        <v>61</v>
      </c>
      <c r="K41" s="114">
        <f>(H40/5)*2</f>
        <v>1677560</v>
      </c>
    </row>
    <row r="42" spans="2:19" ht="15.75" x14ac:dyDescent="0.25">
      <c r="B42" s="108"/>
      <c r="C42" s="108"/>
      <c r="D42" s="108"/>
      <c r="E42" s="108"/>
      <c r="F42" s="108"/>
      <c r="G42" s="108"/>
      <c r="H42" s="116"/>
      <c r="I42" s="104"/>
      <c r="J42" s="117"/>
      <c r="K42" s="117"/>
      <c r="L42" s="114"/>
    </row>
    <row r="43" spans="2:19" ht="15.75" customHeight="1" x14ac:dyDescent="0.25">
      <c r="B43" s="108" t="s">
        <v>62</v>
      </c>
      <c r="C43" s="108"/>
      <c r="D43" s="108"/>
      <c r="E43" s="108"/>
      <c r="F43" s="108"/>
      <c r="G43" s="108"/>
      <c r="H43" s="113">
        <f>S12+S13+S16+S17+S22+S23+S26+S27</f>
        <v>7477900</v>
      </c>
      <c r="I43" s="104"/>
      <c r="L43" s="105"/>
    </row>
    <row r="44" spans="2:19" ht="15" customHeight="1" x14ac:dyDescent="0.25">
      <c r="B44" s="104"/>
      <c r="C44" s="104"/>
      <c r="D44" s="104"/>
      <c r="H44" s="104"/>
      <c r="I44" s="104"/>
      <c r="L44" s="105"/>
    </row>
    <row r="45" spans="2:19" x14ac:dyDescent="0.25">
      <c r="B45" s="312" t="s">
        <v>63</v>
      </c>
      <c r="C45" s="312"/>
      <c r="D45" s="312"/>
      <c r="E45" s="312"/>
      <c r="F45" s="118">
        <f>S20+S24</f>
        <v>366500</v>
      </c>
      <c r="G45" s="104"/>
      <c r="H45" s="104"/>
      <c r="I45" s="104"/>
    </row>
    <row r="46" spans="2:19" x14ac:dyDescent="0.25">
      <c r="B46" s="312" t="s">
        <v>64</v>
      </c>
      <c r="C46" s="312"/>
      <c r="D46" s="312"/>
      <c r="E46" s="312"/>
      <c r="F46" s="119">
        <f>S6+S11+S12+S13+S16+S17+S22+S23+S26+S27+S28+S30</f>
        <v>8154000</v>
      </c>
      <c r="G46" s="120" t="s">
        <v>65</v>
      </c>
      <c r="H46" s="121">
        <f>S16+S17+S22+S23+S26+S13+S27</f>
        <v>7284800</v>
      </c>
      <c r="I46" s="104"/>
      <c r="J46" s="122"/>
    </row>
    <row r="47" spans="2:19" x14ac:dyDescent="0.25">
      <c r="B47" s="312" t="s">
        <v>66</v>
      </c>
      <c r="C47" s="312"/>
      <c r="D47" s="312"/>
      <c r="E47" s="312"/>
      <c r="F47" s="119">
        <f>S7+S8+S9+S10+S14+S15+S18+S19+S21+S25+S29+S31+S32+S33</f>
        <v>3151300</v>
      </c>
      <c r="G47" s="104"/>
      <c r="H47" s="104"/>
      <c r="I47" s="104"/>
      <c r="J47" s="123"/>
    </row>
    <row r="48" spans="2:19" ht="11.25" customHeight="1" x14ac:dyDescent="0.25">
      <c r="B48" s="104"/>
      <c r="C48" s="104"/>
      <c r="D48" s="104"/>
      <c r="E48" s="104"/>
      <c r="F48" s="104"/>
      <c r="G48" s="104"/>
      <c r="H48" s="124"/>
      <c r="I48" s="104"/>
    </row>
    <row r="49" spans="2:14" ht="21" customHeight="1" x14ac:dyDescent="0.25">
      <c r="B49" s="313" t="s">
        <v>67</v>
      </c>
      <c r="C49" s="313"/>
      <c r="D49" s="313"/>
      <c r="E49" s="313"/>
      <c r="F49" s="313"/>
      <c r="G49" s="313"/>
      <c r="H49" s="313"/>
      <c r="I49" s="313"/>
      <c r="J49" s="313"/>
      <c r="K49" s="313"/>
      <c r="L49" s="313"/>
    </row>
    <row r="50" spans="2:14" ht="20.25" customHeight="1" x14ac:dyDescent="0.25">
      <c r="B50" s="313"/>
      <c r="C50" s="313"/>
      <c r="D50" s="313"/>
      <c r="E50" s="313"/>
      <c r="F50" s="313"/>
      <c r="G50" s="313"/>
      <c r="H50" s="313"/>
      <c r="I50" s="313"/>
      <c r="J50" s="313"/>
      <c r="K50" s="313"/>
      <c r="L50" s="313"/>
    </row>
    <row r="51" spans="2:14" ht="15" customHeight="1" x14ac:dyDescent="0.25">
      <c r="B51" s="314" t="s">
        <v>68</v>
      </c>
      <c r="C51" s="314"/>
      <c r="D51" s="314"/>
      <c r="E51" s="314"/>
      <c r="F51" s="314"/>
      <c r="G51" s="314"/>
      <c r="H51" s="314"/>
      <c r="I51" s="314"/>
      <c r="J51" s="314"/>
      <c r="K51" s="314"/>
      <c r="L51" s="314"/>
      <c r="M51" s="315"/>
    </row>
    <row r="52" spans="2:14" ht="15" customHeight="1" x14ac:dyDescent="0.25">
      <c r="B52" s="314" t="s">
        <v>69</v>
      </c>
      <c r="C52" s="314"/>
      <c r="D52" s="314"/>
      <c r="E52" s="314"/>
      <c r="F52" s="314"/>
      <c r="G52" s="314"/>
      <c r="H52" s="314"/>
      <c r="I52" s="314"/>
      <c r="J52" s="314"/>
      <c r="K52" s="314"/>
      <c r="L52" s="314"/>
    </row>
    <row r="53" spans="2:14" ht="15" customHeight="1" x14ac:dyDescent="0.25"/>
    <row r="54" spans="2:14" ht="24.75" customHeight="1" thickBot="1" x14ac:dyDescent="0.3"/>
    <row r="55" spans="2:14" ht="51.75" customHeight="1" thickBot="1" x14ac:dyDescent="0.3">
      <c r="B55" s="305" t="s">
        <v>70</v>
      </c>
      <c r="C55" s="306"/>
      <c r="D55" s="125" t="s">
        <v>71</v>
      </c>
      <c r="E55" s="126" t="s">
        <v>72</v>
      </c>
      <c r="F55" s="127" t="s">
        <v>73</v>
      </c>
      <c r="G55" s="126" t="s">
        <v>74</v>
      </c>
      <c r="H55" s="128" t="s">
        <v>75</v>
      </c>
      <c r="J55" s="307" t="s">
        <v>76</v>
      </c>
      <c r="K55" s="307"/>
      <c r="L55" s="129">
        <f>N13+N12</f>
        <v>2063584.8948000001</v>
      </c>
    </row>
    <row r="56" spans="2:14" ht="15.75" thickBot="1" x14ac:dyDescent="0.3">
      <c r="B56" s="258" t="s">
        <v>77</v>
      </c>
      <c r="C56" s="259"/>
      <c r="D56" s="130">
        <v>876</v>
      </c>
      <c r="E56" s="131">
        <f>(K41*D56)/D100</f>
        <v>32992.289524493739</v>
      </c>
      <c r="F56" s="132">
        <f>(N59*D56)/N63</f>
        <v>35997.039611919616</v>
      </c>
      <c r="G56" s="131">
        <f>E56+F56</f>
        <v>68989.329136413347</v>
      </c>
      <c r="H56" s="131">
        <v>69000</v>
      </c>
      <c r="J56" s="133" t="s">
        <v>78</v>
      </c>
      <c r="K56" s="133"/>
      <c r="L56" s="134">
        <f>N27</f>
        <v>689850.60000000009</v>
      </c>
    </row>
    <row r="57" spans="2:14" ht="15.75" thickBot="1" x14ac:dyDescent="0.3">
      <c r="B57" s="262" t="s">
        <v>79</v>
      </c>
      <c r="C57" s="263"/>
      <c r="D57" s="135">
        <v>685</v>
      </c>
      <c r="E57" s="136">
        <f>(K41*D57)/D100</f>
        <v>25798.765210363254</v>
      </c>
      <c r="F57" s="137">
        <f>(N61*D57)/N64</f>
        <v>40949.767205811782</v>
      </c>
      <c r="G57" s="136">
        <f>E57+F57</f>
        <v>66748.532416175032</v>
      </c>
      <c r="H57" s="131">
        <v>66800</v>
      </c>
      <c r="J57" s="138" t="s">
        <v>80</v>
      </c>
      <c r="K57" s="138"/>
      <c r="L57" s="139">
        <f>N26</f>
        <v>687825.60000000009</v>
      </c>
    </row>
    <row r="58" spans="2:14" ht="15.75" thickBot="1" x14ac:dyDescent="0.3">
      <c r="B58" s="308" t="s">
        <v>81</v>
      </c>
      <c r="C58" s="309"/>
      <c r="D58" s="130">
        <v>4584</v>
      </c>
      <c r="E58" s="131">
        <f>(K41*D58)/D100</f>
        <v>172644.58353913159</v>
      </c>
      <c r="F58" s="140">
        <f>L57</f>
        <v>687825.60000000009</v>
      </c>
      <c r="G58" s="131">
        <f t="shared" ref="G58:G96" si="2">E58+F58</f>
        <v>860470.18353913166</v>
      </c>
      <c r="H58" s="131">
        <v>172700</v>
      </c>
      <c r="I58" t="s">
        <v>82</v>
      </c>
      <c r="J58" s="310" t="s">
        <v>83</v>
      </c>
      <c r="K58" s="311"/>
      <c r="L58" s="141">
        <f>N17</f>
        <v>889447.4</v>
      </c>
      <c r="M58" s="142" t="s">
        <v>84</v>
      </c>
      <c r="N58" s="143">
        <f>L58*60%</f>
        <v>533668.43999999994</v>
      </c>
    </row>
    <row r="59" spans="2:14" ht="15.75" thickBot="1" x14ac:dyDescent="0.3">
      <c r="B59" s="262" t="s">
        <v>85</v>
      </c>
      <c r="C59" s="263"/>
      <c r="D59" s="135">
        <v>414</v>
      </c>
      <c r="E59" s="136">
        <f>(K41*D59)/D100</f>
        <v>15592.246419110053</v>
      </c>
      <c r="F59" s="137">
        <f>(N61*D59)/N64</f>
        <v>24749.202369643906</v>
      </c>
      <c r="G59" s="136">
        <f t="shared" si="2"/>
        <v>40341.448788753958</v>
      </c>
      <c r="H59" s="131">
        <v>40400</v>
      </c>
      <c r="J59" s="302" t="s">
        <v>86</v>
      </c>
      <c r="K59" s="302"/>
      <c r="L59" s="144">
        <f>N23</f>
        <v>363361.74600000004</v>
      </c>
      <c r="M59" s="145" t="s">
        <v>87</v>
      </c>
      <c r="N59" s="146">
        <f>L58*40%</f>
        <v>355778.96</v>
      </c>
    </row>
    <row r="60" spans="2:14" ht="15.75" thickBot="1" x14ac:dyDescent="0.3">
      <c r="B60" s="258" t="s">
        <v>88</v>
      </c>
      <c r="C60" s="259"/>
      <c r="D60" s="130">
        <v>1536</v>
      </c>
      <c r="E60" s="131">
        <f>(K41*D60)/D100</f>
        <v>57849.493960756139</v>
      </c>
      <c r="F60" s="132">
        <f>(N59*D60)/N63</f>
        <v>63118.096853776864</v>
      </c>
      <c r="G60" s="131">
        <f t="shared" si="2"/>
        <v>120967.590814533</v>
      </c>
      <c r="H60" s="131">
        <v>121000</v>
      </c>
      <c r="J60" s="303" t="s">
        <v>89</v>
      </c>
      <c r="K60" s="303"/>
      <c r="L60" s="147">
        <f>N22</f>
        <v>2304096.9380000005</v>
      </c>
      <c r="M60" s="148" t="s">
        <v>90</v>
      </c>
      <c r="N60" s="149">
        <f>(L60/5)*3</f>
        <v>1382458.1628000005</v>
      </c>
    </row>
    <row r="61" spans="2:14" ht="15.75" thickBot="1" x14ac:dyDescent="0.3">
      <c r="B61" s="262" t="s">
        <v>91</v>
      </c>
      <c r="C61" s="263"/>
      <c r="D61" s="135">
        <v>1013</v>
      </c>
      <c r="E61" s="136">
        <f>(K41*D61)/D100</f>
        <v>38152.042566566386</v>
      </c>
      <c r="F61" s="137">
        <f>(N61*D61)/N64</f>
        <v>60557.830918959611</v>
      </c>
      <c r="G61" s="136">
        <f t="shared" si="2"/>
        <v>98709.873485525997</v>
      </c>
      <c r="H61" s="131">
        <v>98800</v>
      </c>
      <c r="J61" s="304" t="s">
        <v>92</v>
      </c>
      <c r="K61" s="304"/>
      <c r="L61" s="150">
        <f>N16</f>
        <v>480155.63915000006</v>
      </c>
      <c r="M61" s="145" t="s">
        <v>61</v>
      </c>
      <c r="N61" s="151">
        <f>(L60/5)*2</f>
        <v>921638.77520000027</v>
      </c>
    </row>
    <row r="62" spans="2:14" ht="15.75" thickBot="1" x14ac:dyDescent="0.3">
      <c r="B62" s="258" t="s">
        <v>93</v>
      </c>
      <c r="C62" s="259"/>
      <c r="D62" s="130">
        <v>253</v>
      </c>
      <c r="E62" s="131">
        <f>(K41*D62)/D100</f>
        <v>9528.5950339005885</v>
      </c>
      <c r="F62" s="132">
        <f>(N59*D62)/N63</f>
        <v>10396.405276045278</v>
      </c>
      <c r="G62" s="131">
        <f>E62+F62</f>
        <v>19925.000309945866</v>
      </c>
      <c r="H62" s="131">
        <v>20000</v>
      </c>
      <c r="L62" s="152">
        <f>SUM(L55:L61)</f>
        <v>7478322.8179500019</v>
      </c>
    </row>
    <row r="63" spans="2:14" ht="15.75" thickBot="1" x14ac:dyDescent="0.3">
      <c r="B63" s="287" t="s">
        <v>94</v>
      </c>
      <c r="C63" s="288"/>
      <c r="D63" s="135">
        <v>2168</v>
      </c>
      <c r="E63" s="136">
        <f>(K41*D63)/D100</f>
        <v>81652.150330025601</v>
      </c>
      <c r="F63" s="153">
        <f>(L61*D63)/L65</f>
        <v>195893.38081994731</v>
      </c>
      <c r="G63" s="136">
        <f>E63+F63</f>
        <v>277545.53114997293</v>
      </c>
      <c r="H63" s="131">
        <v>277600</v>
      </c>
      <c r="J63" s="154" t="s">
        <v>95</v>
      </c>
      <c r="K63" s="154"/>
      <c r="L63" s="155">
        <f>D56+D60+D62+D69+D72+D73+D74+D76+D86+D88+D93+D95+D94+D75</f>
        <v>11197</v>
      </c>
      <c r="M63" s="156" t="s">
        <v>96</v>
      </c>
      <c r="N63" s="157">
        <f>L63-D94</f>
        <v>8658</v>
      </c>
    </row>
    <row r="64" spans="2:14" ht="15.75" thickBot="1" x14ac:dyDescent="0.3">
      <c r="B64" s="240" t="s">
        <v>97</v>
      </c>
      <c r="C64" s="241"/>
      <c r="D64" s="130">
        <v>402</v>
      </c>
      <c r="E64" s="131">
        <f>(K41*D64)/D100</f>
        <v>15140.297247541646</v>
      </c>
      <c r="F64" s="158">
        <f>(N61*D64)/N64</f>
        <v>24031.834185016549</v>
      </c>
      <c r="G64" s="131">
        <f t="shared" si="2"/>
        <v>39172.131432558192</v>
      </c>
      <c r="H64" s="131">
        <v>39200</v>
      </c>
      <c r="J64" s="159" t="s">
        <v>98</v>
      </c>
      <c r="K64" s="159"/>
      <c r="L64" s="160">
        <f>D57+D59+D61+D64+D65+D66+D67+D68+D70+D71+D77+D78+D79+D83+D85+D87+D89+D91+D92+D96+D98</f>
        <v>26216</v>
      </c>
      <c r="M64" s="161" t="s">
        <v>99</v>
      </c>
      <c r="N64" s="161">
        <f>L64-D98</f>
        <v>15417</v>
      </c>
    </row>
    <row r="65" spans="1:12" ht="15.75" thickBot="1" x14ac:dyDescent="0.3">
      <c r="B65" s="262" t="s">
        <v>100</v>
      </c>
      <c r="C65" s="263"/>
      <c r="D65" s="135">
        <v>717</v>
      </c>
      <c r="E65" s="136">
        <f>(K41*D65)/D100</f>
        <v>27003.963001212338</v>
      </c>
      <c r="F65" s="137">
        <f>(N61*D65)/N64</f>
        <v>42862.749031484731</v>
      </c>
      <c r="G65" s="136">
        <f t="shared" si="2"/>
        <v>69866.712032697076</v>
      </c>
      <c r="H65" s="131">
        <v>69900</v>
      </c>
      <c r="J65" s="162" t="s">
        <v>101</v>
      </c>
      <c r="K65" s="162"/>
      <c r="L65" s="163">
        <f>D63+D80+D81+D84</f>
        <v>5314</v>
      </c>
    </row>
    <row r="66" spans="1:12" ht="15.75" thickBot="1" x14ac:dyDescent="0.3">
      <c r="B66" s="240" t="s">
        <v>102</v>
      </c>
      <c r="C66" s="241"/>
      <c r="D66" s="130">
        <v>244</v>
      </c>
      <c r="E66" s="131">
        <f>(K41*D66)/D100</f>
        <v>9189.6331552242827</v>
      </c>
      <c r="F66" s="158">
        <f>(N61*D66)/N64</f>
        <v>14586.486420756313</v>
      </c>
      <c r="G66" s="131">
        <f t="shared" si="2"/>
        <v>23776.119575980596</v>
      </c>
      <c r="H66" s="131">
        <v>23800</v>
      </c>
      <c r="J66" s="164" t="s">
        <v>103</v>
      </c>
      <c r="K66" s="164"/>
      <c r="L66" s="165">
        <f>D58</f>
        <v>4584</v>
      </c>
    </row>
    <row r="67" spans="1:12" ht="15.75" thickBot="1" x14ac:dyDescent="0.3">
      <c r="B67" s="262" t="s">
        <v>104</v>
      </c>
      <c r="C67" s="263"/>
      <c r="D67" s="135">
        <v>874</v>
      </c>
      <c r="E67" s="136">
        <f>(K41*D67)/D100</f>
        <v>32916.964662565668</v>
      </c>
      <c r="F67" s="137">
        <f>(N61*D67)/N64</f>
        <v>52248.316113692686</v>
      </c>
      <c r="G67" s="136">
        <f t="shared" si="2"/>
        <v>85165.280776258354</v>
      </c>
      <c r="H67" s="131">
        <v>85200</v>
      </c>
      <c r="J67" s="166" t="s">
        <v>105</v>
      </c>
      <c r="K67" s="166"/>
      <c r="L67" s="167">
        <f>D82</f>
        <v>3528</v>
      </c>
    </row>
    <row r="68" spans="1:12" ht="15.75" thickBot="1" x14ac:dyDescent="0.3">
      <c r="B68" s="240" t="s">
        <v>106</v>
      </c>
      <c r="C68" s="241"/>
      <c r="D68" s="130">
        <v>175</v>
      </c>
      <c r="E68" s="131">
        <f>(K41*D68)/D100</f>
        <v>6590.9254187059405</v>
      </c>
      <c r="F68" s="158">
        <f>(N61*D68)/N64</f>
        <v>10461.619359148995</v>
      </c>
      <c r="G68" s="131">
        <f t="shared" si="2"/>
        <v>17052.544777854935</v>
      </c>
      <c r="H68" s="131">
        <v>17100</v>
      </c>
      <c r="J68" s="168" t="s">
        <v>107</v>
      </c>
      <c r="K68" s="168"/>
      <c r="L68" s="169">
        <f>D90</f>
        <v>4502</v>
      </c>
    </row>
    <row r="69" spans="1:12" ht="15.75" thickBot="1" x14ac:dyDescent="0.3">
      <c r="B69" s="256" t="s">
        <v>108</v>
      </c>
      <c r="C69" s="257"/>
      <c r="D69" s="135">
        <v>835</v>
      </c>
      <c r="E69" s="136">
        <f>(K41*D69)/D100</f>
        <v>31448.129854968345</v>
      </c>
      <c r="F69" s="170">
        <f>(N59*D69)/N63</f>
        <v>34312.246662046666</v>
      </c>
      <c r="G69" s="136">
        <f t="shared" si="2"/>
        <v>65760.376517015015</v>
      </c>
      <c r="H69" s="131">
        <v>65800</v>
      </c>
    </row>
    <row r="70" spans="1:12" ht="15.75" thickBot="1" x14ac:dyDescent="0.3">
      <c r="B70" s="240" t="s">
        <v>109</v>
      </c>
      <c r="C70" s="241"/>
      <c r="D70" s="130">
        <v>1899</v>
      </c>
      <c r="E70" s="131">
        <f>(K41*D70)/D100</f>
        <v>71520.956400700466</v>
      </c>
      <c r="F70" s="158">
        <f>(N61*D70)/N64</f>
        <v>113523.51521727965</v>
      </c>
      <c r="G70" s="131">
        <f t="shared" si="2"/>
        <v>185044.4716179801</v>
      </c>
      <c r="H70" s="131">
        <v>185100</v>
      </c>
    </row>
    <row r="71" spans="1:12" ht="15.75" thickBot="1" x14ac:dyDescent="0.3">
      <c r="B71" s="262" t="s">
        <v>110</v>
      </c>
      <c r="C71" s="263"/>
      <c r="D71" s="135">
        <v>712</v>
      </c>
      <c r="E71" s="136">
        <f>(K41*D71)/D100</f>
        <v>26815.650846392171</v>
      </c>
      <c r="F71" s="137">
        <f>(N61*D71)/N64</f>
        <v>42563.845621223336</v>
      </c>
      <c r="G71" s="136">
        <f t="shared" si="2"/>
        <v>69379.496467615507</v>
      </c>
      <c r="H71" s="131">
        <v>69400</v>
      </c>
    </row>
    <row r="72" spans="1:12" ht="15.75" thickBot="1" x14ac:dyDescent="0.3">
      <c r="B72" s="258" t="s">
        <v>111</v>
      </c>
      <c r="C72" s="259"/>
      <c r="D72" s="130">
        <v>314</v>
      </c>
      <c r="E72" s="131">
        <f>(K41*D72)/D100</f>
        <v>11826.00332270666</v>
      </c>
      <c r="F72" s="132">
        <f>(N59*D72)/N63</f>
        <v>12903.048445368448</v>
      </c>
      <c r="G72" s="131">
        <f>E72+F72</f>
        <v>24729.051768075107</v>
      </c>
      <c r="H72" s="131">
        <v>24800</v>
      </c>
      <c r="J72" s="301" t="s">
        <v>112</v>
      </c>
      <c r="K72" s="301"/>
    </row>
    <row r="73" spans="1:12" ht="15.75" thickBot="1" x14ac:dyDescent="0.3">
      <c r="B73" s="258" t="s">
        <v>113</v>
      </c>
      <c r="C73" s="259"/>
      <c r="D73" s="135">
        <v>869</v>
      </c>
      <c r="E73" s="136">
        <f>(K41*D73)/D100</f>
        <v>32728.652507745497</v>
      </c>
      <c r="F73" s="170">
        <f>(N59*D73)/N63</f>
        <v>35709.39203511204</v>
      </c>
      <c r="G73" s="136">
        <f t="shared" si="2"/>
        <v>68438.044542857533</v>
      </c>
      <c r="H73" s="131">
        <v>68500</v>
      </c>
      <c r="J73" s="171" t="s">
        <v>114</v>
      </c>
      <c r="K73" s="171" t="s">
        <v>115</v>
      </c>
      <c r="L73" s="171"/>
    </row>
    <row r="74" spans="1:12" ht="15.75" thickBot="1" x14ac:dyDescent="0.3">
      <c r="B74" s="258" t="s">
        <v>116</v>
      </c>
      <c r="C74" s="259"/>
      <c r="D74" s="130">
        <v>342</v>
      </c>
      <c r="E74" s="131">
        <f>(K41*D74)/D100</f>
        <v>12880.551389699609</v>
      </c>
      <c r="F74" s="132">
        <f>(N59*D74)/N63</f>
        <v>14053.638752598754</v>
      </c>
      <c r="G74" s="131">
        <f t="shared" si="2"/>
        <v>26934.190142298365</v>
      </c>
      <c r="H74" s="131">
        <v>27000</v>
      </c>
      <c r="J74" s="172" t="s">
        <v>117</v>
      </c>
      <c r="K74" s="295" t="s">
        <v>118</v>
      </c>
      <c r="L74" s="296"/>
    </row>
    <row r="75" spans="1:12" ht="15.75" thickBot="1" x14ac:dyDescent="0.3">
      <c r="A75" s="173"/>
      <c r="B75" s="258" t="s">
        <v>119</v>
      </c>
      <c r="C75" s="259"/>
      <c r="D75" s="135">
        <v>474</v>
      </c>
      <c r="E75" s="136">
        <f>(K41*D75)/D100</f>
        <v>17851.992276952089</v>
      </c>
      <c r="F75" s="132">
        <f>(N59*D75)/N63</f>
        <v>19477.850200970202</v>
      </c>
      <c r="G75" s="136">
        <f>E75+F75</f>
        <v>37329.842477922291</v>
      </c>
      <c r="H75" s="131">
        <v>37400</v>
      </c>
      <c r="J75" s="165" t="s">
        <v>120</v>
      </c>
      <c r="K75" s="297" t="s">
        <v>81</v>
      </c>
      <c r="L75" s="298"/>
    </row>
    <row r="76" spans="1:12" ht="15.75" thickBot="1" x14ac:dyDescent="0.3">
      <c r="A76" s="173"/>
      <c r="B76" s="258" t="s">
        <v>121</v>
      </c>
      <c r="C76" s="259"/>
      <c r="D76" s="130">
        <v>225</v>
      </c>
      <c r="E76" s="131">
        <f>(K41*D76)/D100</f>
        <v>8474.0469669076374</v>
      </c>
      <c r="F76" s="132">
        <f>(N59*D76)/N63</f>
        <v>9245.8149688149697</v>
      </c>
      <c r="G76" s="131">
        <f t="shared" si="2"/>
        <v>17719.861935722605</v>
      </c>
      <c r="H76" s="131">
        <v>17800</v>
      </c>
      <c r="J76" s="167" t="s">
        <v>122</v>
      </c>
      <c r="K76" s="299" t="s">
        <v>123</v>
      </c>
      <c r="L76" s="300"/>
    </row>
    <row r="77" spans="1:12" ht="15.75" thickBot="1" x14ac:dyDescent="0.3">
      <c r="B77" s="262" t="s">
        <v>124</v>
      </c>
      <c r="C77" s="263"/>
      <c r="D77" s="135">
        <v>150</v>
      </c>
      <c r="E77" s="136">
        <f>(K41*D77)/D100</f>
        <v>5649.3646446050916</v>
      </c>
      <c r="F77" s="137">
        <f>(N61*D77)/N64</f>
        <v>8967.1023078419948</v>
      </c>
      <c r="G77" s="136">
        <f t="shared" si="2"/>
        <v>14616.466952447086</v>
      </c>
      <c r="H77" s="131">
        <v>14700</v>
      </c>
      <c r="J77" s="169" t="s">
        <v>125</v>
      </c>
      <c r="K77" s="276" t="s">
        <v>126</v>
      </c>
      <c r="L77" s="277"/>
    </row>
    <row r="78" spans="1:12" ht="15.75" thickBot="1" x14ac:dyDescent="0.3">
      <c r="B78" s="240" t="s">
        <v>127</v>
      </c>
      <c r="C78" s="241"/>
      <c r="D78" s="130">
        <v>495</v>
      </c>
      <c r="E78" s="131">
        <f>(K41*D78)/D100</f>
        <v>18642.903327196804</v>
      </c>
      <c r="F78" s="158">
        <f>(N61*D78)/N64</f>
        <v>29591.437615878585</v>
      </c>
      <c r="G78" s="131">
        <f t="shared" si="2"/>
        <v>48234.340943075389</v>
      </c>
      <c r="H78" s="131">
        <v>48300</v>
      </c>
      <c r="J78" s="278" t="s">
        <v>128</v>
      </c>
      <c r="K78" s="281" t="s">
        <v>129</v>
      </c>
      <c r="L78" s="282"/>
    </row>
    <row r="79" spans="1:12" ht="15.75" thickBot="1" x14ac:dyDescent="0.3">
      <c r="B79" s="262" t="s">
        <v>130</v>
      </c>
      <c r="C79" s="263"/>
      <c r="D79" s="135">
        <v>836</v>
      </c>
      <c r="E79" s="136">
        <f>(K41*D79)/D100</f>
        <v>31485.792285932377</v>
      </c>
      <c r="F79" s="137">
        <f>(N61*D79)/N64</f>
        <v>49976.650195706054</v>
      </c>
      <c r="G79" s="136">
        <f t="shared" si="2"/>
        <v>81462.442481638427</v>
      </c>
      <c r="H79" s="131">
        <v>81500</v>
      </c>
      <c r="J79" s="279"/>
      <c r="K79" s="283"/>
      <c r="L79" s="284"/>
    </row>
    <row r="80" spans="1:12" ht="15.75" thickBot="1" x14ac:dyDescent="0.3">
      <c r="B80" s="260" t="s">
        <v>131</v>
      </c>
      <c r="C80" s="261"/>
      <c r="D80" s="130">
        <v>370</v>
      </c>
      <c r="E80" s="131">
        <f>(K41*D80)/D100</f>
        <v>13935.09945669256</v>
      </c>
      <c r="F80" s="174">
        <f>(L61*D80)/L65</f>
        <v>33431.988424068499</v>
      </c>
      <c r="G80" s="131">
        <f t="shared" si="2"/>
        <v>47367.087880761057</v>
      </c>
      <c r="H80" s="131">
        <v>47400</v>
      </c>
      <c r="J80" s="279"/>
      <c r="K80" s="283"/>
      <c r="L80" s="284"/>
    </row>
    <row r="81" spans="2:12" ht="15.75" thickBot="1" x14ac:dyDescent="0.3">
      <c r="B81" s="287" t="s">
        <v>132</v>
      </c>
      <c r="C81" s="288"/>
      <c r="D81" s="135">
        <v>599</v>
      </c>
      <c r="E81" s="136">
        <f>(K41*D81)/D100</f>
        <v>22559.796147456334</v>
      </c>
      <c r="F81" s="153">
        <f>(L61*D81)/L65</f>
        <v>54123.678556802792</v>
      </c>
      <c r="G81" s="136">
        <f t="shared" si="2"/>
        <v>76683.474704259133</v>
      </c>
      <c r="H81" s="131">
        <v>76700</v>
      </c>
      <c r="J81" s="279"/>
      <c r="K81" s="283"/>
      <c r="L81" s="284"/>
    </row>
    <row r="82" spans="2:12" ht="15.75" thickBot="1" x14ac:dyDescent="0.3">
      <c r="B82" s="289" t="s">
        <v>123</v>
      </c>
      <c r="C82" s="290"/>
      <c r="D82" s="130">
        <v>3528</v>
      </c>
      <c r="E82" s="131">
        <f>(K41*D82)/D100</f>
        <v>132873.05644111175</v>
      </c>
      <c r="F82" s="175">
        <f>L59</f>
        <v>363361.74600000004</v>
      </c>
      <c r="G82" s="131">
        <f t="shared" si="2"/>
        <v>496234.80244111177</v>
      </c>
      <c r="H82" s="131">
        <v>132900</v>
      </c>
      <c r="I82" t="s">
        <v>82</v>
      </c>
      <c r="J82" s="279"/>
      <c r="K82" s="283"/>
      <c r="L82" s="284"/>
    </row>
    <row r="83" spans="2:12" ht="15.75" thickBot="1" x14ac:dyDescent="0.3">
      <c r="B83" s="291" t="s">
        <v>133</v>
      </c>
      <c r="C83" s="292"/>
      <c r="D83" s="135">
        <v>367</v>
      </c>
      <c r="E83" s="136">
        <f>(K41*D83)/D100</f>
        <v>13822.112163800459</v>
      </c>
      <c r="F83" s="137">
        <f>(N61*D83)/N64</f>
        <v>21939.510313186747</v>
      </c>
      <c r="G83" s="136">
        <f t="shared" si="2"/>
        <v>35761.622476987206</v>
      </c>
      <c r="H83" s="131">
        <v>35800</v>
      </c>
      <c r="J83" s="279"/>
      <c r="K83" s="283"/>
      <c r="L83" s="284"/>
    </row>
    <row r="84" spans="2:12" ht="15.75" thickBot="1" x14ac:dyDescent="0.3">
      <c r="B84" s="260" t="s">
        <v>134</v>
      </c>
      <c r="C84" s="261"/>
      <c r="D84" s="130">
        <v>2177</v>
      </c>
      <c r="E84" s="131">
        <f>(K41*D84)/D100</f>
        <v>81991.112208701903</v>
      </c>
      <c r="F84" s="174">
        <f>(L61*D84)/L65</f>
        <v>196706.59134918143</v>
      </c>
      <c r="G84" s="131">
        <f t="shared" si="2"/>
        <v>278697.70355788333</v>
      </c>
      <c r="H84" s="131">
        <v>278700</v>
      </c>
      <c r="J84" s="280"/>
      <c r="K84" s="285"/>
      <c r="L84" s="286"/>
    </row>
    <row r="85" spans="2:12" ht="15.75" thickBot="1" x14ac:dyDescent="0.3">
      <c r="B85" s="262" t="s">
        <v>135</v>
      </c>
      <c r="C85" s="263"/>
      <c r="D85" s="135">
        <v>942</v>
      </c>
      <c r="E85" s="136">
        <f>(K41*D85)/D100</f>
        <v>35478.009968119979</v>
      </c>
      <c r="F85" s="137">
        <f>(N61*D85)/N64</f>
        <v>56313.402493247726</v>
      </c>
      <c r="G85" s="136">
        <f t="shared" si="2"/>
        <v>91791.412461367698</v>
      </c>
      <c r="H85" s="131">
        <v>91800</v>
      </c>
      <c r="J85" s="264" t="s">
        <v>136</v>
      </c>
      <c r="K85" s="270" t="s">
        <v>137</v>
      </c>
      <c r="L85" s="271"/>
    </row>
    <row r="86" spans="2:12" ht="15.75" thickBot="1" x14ac:dyDescent="0.3">
      <c r="B86" s="258" t="s">
        <v>138</v>
      </c>
      <c r="C86" s="259"/>
      <c r="D86" s="130">
        <v>771</v>
      </c>
      <c r="E86" s="131">
        <f>(K41*D86)/D100</f>
        <v>29037.734273270173</v>
      </c>
      <c r="F86" s="132">
        <f>(N59*D86)/N63</f>
        <v>31682.325959805963</v>
      </c>
      <c r="G86" s="131">
        <f t="shared" si="2"/>
        <v>60720.060233076132</v>
      </c>
      <c r="H86" s="131">
        <v>60800</v>
      </c>
      <c r="J86" s="265"/>
      <c r="K86" s="272"/>
      <c r="L86" s="273"/>
    </row>
    <row r="87" spans="2:12" ht="15.75" thickBot="1" x14ac:dyDescent="0.3">
      <c r="B87" s="262" t="s">
        <v>139</v>
      </c>
      <c r="C87" s="263"/>
      <c r="D87" s="135">
        <v>2160</v>
      </c>
      <c r="E87" s="136">
        <f>(K41*D87)/D100</f>
        <v>81350.850882313316</v>
      </c>
      <c r="F87" s="137">
        <f>(N61*D87)/N64</f>
        <v>129126.27323292474</v>
      </c>
      <c r="G87" s="136">
        <f t="shared" si="2"/>
        <v>210477.12411523805</v>
      </c>
      <c r="H87" s="131">
        <v>210500</v>
      </c>
      <c r="J87" s="274" t="s">
        <v>140</v>
      </c>
      <c r="K87" s="275" t="s">
        <v>141</v>
      </c>
      <c r="L87" s="275"/>
    </row>
    <row r="88" spans="2:12" ht="15.75" thickBot="1" x14ac:dyDescent="0.3">
      <c r="B88" s="258" t="s">
        <v>142</v>
      </c>
      <c r="C88" s="259"/>
      <c r="D88" s="130">
        <v>524</v>
      </c>
      <c r="E88" s="131">
        <f>(K41*D88)/D100</f>
        <v>19735.113825153789</v>
      </c>
      <c r="F88" s="132">
        <f>(N59*D88)/N63</f>
        <v>21532.475749595753</v>
      </c>
      <c r="G88" s="131">
        <f t="shared" si="2"/>
        <v>41267.589574749538</v>
      </c>
      <c r="H88" s="131">
        <v>41300</v>
      </c>
      <c r="J88" s="274"/>
      <c r="K88" s="275"/>
      <c r="L88" s="275"/>
    </row>
    <row r="89" spans="2:12" ht="15.75" thickBot="1" x14ac:dyDescent="0.3">
      <c r="B89" s="262" t="s">
        <v>143</v>
      </c>
      <c r="C89" s="263"/>
      <c r="D89" s="135">
        <v>1026</v>
      </c>
      <c r="E89" s="136">
        <f>(K41*D89)/D100</f>
        <v>38641.654169098831</v>
      </c>
      <c r="F89" s="137">
        <f>(N61*D89)/N64</f>
        <v>61334.979785639247</v>
      </c>
      <c r="G89" s="136">
        <f t="shared" si="2"/>
        <v>99976.633954738078</v>
      </c>
      <c r="H89" s="131">
        <v>100000</v>
      </c>
      <c r="J89" s="274"/>
      <c r="K89" s="275"/>
      <c r="L89" s="275"/>
    </row>
    <row r="90" spans="2:12" ht="15.75" thickBot="1" x14ac:dyDescent="0.3">
      <c r="B90" s="293" t="s">
        <v>126</v>
      </c>
      <c r="C90" s="294"/>
      <c r="D90" s="130">
        <v>4502</v>
      </c>
      <c r="E90" s="131">
        <f>(K41*D90)/D100</f>
        <v>169556.26420008083</v>
      </c>
      <c r="F90" s="176">
        <f>L56</f>
        <v>689850.60000000009</v>
      </c>
      <c r="G90" s="131">
        <f t="shared" si="2"/>
        <v>859406.86420008098</v>
      </c>
      <c r="H90" s="131">
        <v>169600</v>
      </c>
      <c r="I90" t="s">
        <v>82</v>
      </c>
      <c r="J90" s="274"/>
      <c r="K90" s="275"/>
      <c r="L90" s="275"/>
    </row>
    <row r="91" spans="2:12" ht="15.75" thickBot="1" x14ac:dyDescent="0.3">
      <c r="B91" s="262" t="s">
        <v>144</v>
      </c>
      <c r="C91" s="263"/>
      <c r="D91" s="135">
        <v>579</v>
      </c>
      <c r="E91" s="136">
        <f>(K41*D91)/D100</f>
        <v>21806.547528175655</v>
      </c>
      <c r="F91" s="137">
        <f>(N61*D91)/N64</f>
        <v>34613.014908270103</v>
      </c>
      <c r="G91" s="136">
        <f t="shared" si="2"/>
        <v>56419.562436445762</v>
      </c>
      <c r="H91" s="131">
        <v>56500</v>
      </c>
      <c r="J91" s="274"/>
      <c r="K91" s="275"/>
      <c r="L91" s="275"/>
    </row>
    <row r="92" spans="2:12" ht="15.75" thickBot="1" x14ac:dyDescent="0.3">
      <c r="B92" s="254" t="s">
        <v>145</v>
      </c>
      <c r="C92" s="255"/>
      <c r="D92" s="130">
        <v>731</v>
      </c>
      <c r="E92" s="131">
        <f>(K41*D92)/D100</f>
        <v>27531.237034708814</v>
      </c>
      <c r="F92" s="158">
        <f>(N61*D92)/N64</f>
        <v>43699.678580216656</v>
      </c>
      <c r="G92" s="131">
        <f t="shared" si="2"/>
        <v>71230.91561492547</v>
      </c>
      <c r="H92" s="131">
        <v>71300</v>
      </c>
    </row>
    <row r="93" spans="2:12" ht="15.75" thickBot="1" x14ac:dyDescent="0.3">
      <c r="B93" s="256" t="s">
        <v>146</v>
      </c>
      <c r="C93" s="257"/>
      <c r="D93" s="135">
        <v>1117</v>
      </c>
      <c r="E93" s="136">
        <f>(K41*D93)/D100</f>
        <v>42068.93538682592</v>
      </c>
      <c r="F93" s="170">
        <f>(N59*D93)/N63</f>
        <v>45900.33475629476</v>
      </c>
      <c r="G93" s="136">
        <f t="shared" si="2"/>
        <v>87969.270143120681</v>
      </c>
      <c r="H93" s="131">
        <v>88000</v>
      </c>
    </row>
    <row r="94" spans="2:12" ht="15.75" thickBot="1" x14ac:dyDescent="0.3">
      <c r="B94" s="258" t="s">
        <v>147</v>
      </c>
      <c r="C94" s="259"/>
      <c r="D94" s="130">
        <v>2539</v>
      </c>
      <c r="E94" s="131">
        <f>(K41*D94)/D100</f>
        <v>95624.912217682184</v>
      </c>
      <c r="F94" s="132">
        <f>N58</f>
        <v>533668.43999999994</v>
      </c>
      <c r="G94" s="131">
        <f t="shared" si="2"/>
        <v>629293.35221768217</v>
      </c>
      <c r="H94" s="131">
        <v>629300</v>
      </c>
    </row>
    <row r="95" spans="2:12" ht="15.75" thickBot="1" x14ac:dyDescent="0.3">
      <c r="B95" s="256" t="s">
        <v>148</v>
      </c>
      <c r="C95" s="257"/>
      <c r="D95" s="135">
        <v>522</v>
      </c>
      <c r="E95" s="136">
        <f>(K41*D95)/D100</f>
        <v>19659.788963225721</v>
      </c>
      <c r="F95" s="170">
        <f>(N59*D95)/N63</f>
        <v>21450.290727650729</v>
      </c>
      <c r="G95" s="136">
        <f t="shared" si="2"/>
        <v>41110.079690876446</v>
      </c>
      <c r="H95" s="131">
        <v>41200</v>
      </c>
    </row>
    <row r="96" spans="2:12" ht="15.75" thickBot="1" x14ac:dyDescent="0.3">
      <c r="B96" s="240" t="s">
        <v>149</v>
      </c>
      <c r="C96" s="241"/>
      <c r="D96" s="130">
        <v>996</v>
      </c>
      <c r="E96" s="131">
        <f>(K41*D96)/D100</f>
        <v>37511.781240177806</v>
      </c>
      <c r="F96" s="158">
        <f>(N61*D96)/N64</f>
        <v>59541.559324070848</v>
      </c>
      <c r="G96" s="131">
        <f t="shared" si="2"/>
        <v>97053.340564248647</v>
      </c>
      <c r="H96" s="131">
        <v>97100</v>
      </c>
      <c r="K96" s="105"/>
    </row>
    <row r="97" spans="2:13" s="180" customFormat="1" ht="27.75" customHeight="1" thickBot="1" x14ac:dyDescent="0.3">
      <c r="B97" s="242" t="s">
        <v>150</v>
      </c>
      <c r="C97" s="243"/>
      <c r="D97" s="135"/>
      <c r="E97" s="177">
        <f>SUM(E56:E96)</f>
        <v>1677560</v>
      </c>
      <c r="F97" s="178">
        <f>SUM(F56:F96)</f>
        <v>4032279.7603499996</v>
      </c>
      <c r="G97" s="177">
        <f>SUM(G56:G96)</f>
        <v>5709839.760350001</v>
      </c>
      <c r="H97" s="179">
        <f>SUM(H56:H96)</f>
        <v>3970700</v>
      </c>
      <c r="J97" s="181"/>
      <c r="K97" s="182"/>
    </row>
    <row r="98" spans="2:13" x14ac:dyDescent="0.25">
      <c r="B98" s="244" t="s">
        <v>118</v>
      </c>
      <c r="C98" s="245"/>
      <c r="D98" s="248">
        <v>10799</v>
      </c>
      <c r="E98" s="250">
        <f>K40</f>
        <v>2516340</v>
      </c>
      <c r="F98" s="183">
        <f>N60</f>
        <v>1382458.1628000005</v>
      </c>
      <c r="G98" s="252">
        <f>E98+F98+F99</f>
        <v>5962383.0576000009</v>
      </c>
      <c r="H98" s="269"/>
      <c r="J98" s="184"/>
      <c r="K98" s="184"/>
    </row>
    <row r="99" spans="2:13" ht="15.75" thickBot="1" x14ac:dyDescent="0.3">
      <c r="B99" s="246"/>
      <c r="C99" s="247"/>
      <c r="D99" s="249"/>
      <c r="E99" s="251"/>
      <c r="F99" s="185">
        <f>L55</f>
        <v>2063584.8948000001</v>
      </c>
      <c r="G99" s="253"/>
      <c r="H99" s="269"/>
      <c r="J99" s="184"/>
      <c r="K99" s="186"/>
      <c r="L99" s="228"/>
      <c r="M99" s="229"/>
    </row>
    <row r="100" spans="2:13" x14ac:dyDescent="0.25">
      <c r="B100" s="230" t="s">
        <v>151</v>
      </c>
      <c r="C100" s="230"/>
      <c r="D100" s="187">
        <f>SUM(D56:D96)</f>
        <v>44542</v>
      </c>
      <c r="E100" s="188" t="s">
        <v>152</v>
      </c>
      <c r="F100" s="188" t="s">
        <v>152</v>
      </c>
      <c r="G100" s="188" t="s">
        <v>152</v>
      </c>
      <c r="H100" s="189"/>
      <c r="J100" s="190"/>
      <c r="K100" s="186"/>
      <c r="L100" s="228"/>
      <c r="M100" s="229"/>
    </row>
    <row r="101" spans="2:13" x14ac:dyDescent="0.25">
      <c r="E101" s="191">
        <f>SUM(E56:E96)+E98</f>
        <v>4193900</v>
      </c>
      <c r="F101" s="191">
        <f>SUM(F56:F96)+F98+F99</f>
        <v>7478322.8179500001</v>
      </c>
      <c r="G101" s="192">
        <f>SUM(G56:G96)+G98</f>
        <v>11672222.817950003</v>
      </c>
    </row>
    <row r="102" spans="2:13" ht="15.75" thickBot="1" x14ac:dyDescent="0.3">
      <c r="K102" s="105"/>
    </row>
    <row r="103" spans="2:13" ht="15.75" thickBot="1" x14ac:dyDescent="0.3">
      <c r="E103" s="193">
        <v>2025</v>
      </c>
      <c r="K103" s="105"/>
    </row>
    <row r="104" spans="2:13" ht="15.75" x14ac:dyDescent="0.25">
      <c r="B104" s="231" t="s">
        <v>153</v>
      </c>
      <c r="C104" s="232"/>
      <c r="D104" s="233"/>
      <c r="E104" s="194">
        <f>H37</f>
        <v>11671800</v>
      </c>
      <c r="F104" s="195"/>
      <c r="G104" s="196"/>
      <c r="H104" s="197"/>
    </row>
    <row r="105" spans="2:13" ht="33" customHeight="1" thickBot="1" x14ac:dyDescent="0.3">
      <c r="B105" s="234"/>
      <c r="C105" s="235"/>
      <c r="D105" s="236"/>
      <c r="E105" s="198" t="s">
        <v>154</v>
      </c>
      <c r="F105" s="195"/>
      <c r="G105" s="196"/>
      <c r="H105" s="197"/>
      <c r="I105" s="196"/>
    </row>
    <row r="106" spans="2:13" ht="16.5" thickBot="1" x14ac:dyDescent="0.3">
      <c r="B106" s="237" t="s">
        <v>155</v>
      </c>
      <c r="C106" s="238"/>
      <c r="D106" s="239"/>
      <c r="E106" s="199">
        <f>H97</f>
        <v>3970700</v>
      </c>
      <c r="F106" s="200" t="s">
        <v>156</v>
      </c>
      <c r="G106" s="201" t="s">
        <v>157</v>
      </c>
      <c r="H106" s="202">
        <f>E106-3916100</f>
        <v>54600</v>
      </c>
      <c r="J106" s="105"/>
      <c r="K106" s="105"/>
    </row>
    <row r="107" spans="2:13" ht="16.5" thickBot="1" x14ac:dyDescent="0.3">
      <c r="B107" s="266" t="s">
        <v>158</v>
      </c>
      <c r="C107" s="267"/>
      <c r="D107" s="268"/>
      <c r="E107" s="203">
        <f>S36</f>
        <v>6784700</v>
      </c>
      <c r="F107" s="204" t="s">
        <v>156</v>
      </c>
      <c r="G107" s="185" t="s">
        <v>157</v>
      </c>
      <c r="H107" s="205">
        <f>E107-6766500</f>
        <v>18200</v>
      </c>
      <c r="J107" s="105"/>
    </row>
    <row r="108" spans="2:13" ht="16.5" thickBot="1" x14ac:dyDescent="0.3">
      <c r="B108" s="266" t="s">
        <v>159</v>
      </c>
      <c r="C108" s="267"/>
      <c r="D108" s="268"/>
      <c r="E108" s="203">
        <f>Q36</f>
        <v>3146200</v>
      </c>
      <c r="F108" s="206"/>
      <c r="G108" s="207"/>
      <c r="H108" s="208"/>
      <c r="J108" s="105"/>
    </row>
    <row r="109" spans="2:13" x14ac:dyDescent="0.25">
      <c r="K109" s="115"/>
    </row>
  </sheetData>
  <mergeCells count="135">
    <mergeCell ref="B2:J2"/>
    <mergeCell ref="B4:E5"/>
    <mergeCell ref="F4:H5"/>
    <mergeCell ref="I4:I5"/>
    <mergeCell ref="J4:J5"/>
    <mergeCell ref="K4:K5"/>
    <mergeCell ref="R4:R5"/>
    <mergeCell ref="S4:S5"/>
    <mergeCell ref="B6:E6"/>
    <mergeCell ref="F6:H6"/>
    <mergeCell ref="B7:E8"/>
    <mergeCell ref="F7:H7"/>
    <mergeCell ref="F8:H8"/>
    <mergeCell ref="L4:L5"/>
    <mergeCell ref="M4:M5"/>
    <mergeCell ref="N4:N5"/>
    <mergeCell ref="O4:O5"/>
    <mergeCell ref="P4:P5"/>
    <mergeCell ref="Q4:Q5"/>
    <mergeCell ref="B14:E17"/>
    <mergeCell ref="F14:H14"/>
    <mergeCell ref="F15:H15"/>
    <mergeCell ref="F16:H16"/>
    <mergeCell ref="F17:H17"/>
    <mergeCell ref="B18:E18"/>
    <mergeCell ref="F18:H18"/>
    <mergeCell ref="B9:E13"/>
    <mergeCell ref="F9:H9"/>
    <mergeCell ref="F10:H10"/>
    <mergeCell ref="F11:H11"/>
    <mergeCell ref="F12:H12"/>
    <mergeCell ref="F13:H13"/>
    <mergeCell ref="B24:E25"/>
    <mergeCell ref="F24:H24"/>
    <mergeCell ref="F25:H25"/>
    <mergeCell ref="B26:E26"/>
    <mergeCell ref="F26:H26"/>
    <mergeCell ref="B27:E27"/>
    <mergeCell ref="F27:H27"/>
    <mergeCell ref="B19:E23"/>
    <mergeCell ref="F19:H19"/>
    <mergeCell ref="F20:H20"/>
    <mergeCell ref="F21:H21"/>
    <mergeCell ref="F22:H22"/>
    <mergeCell ref="F23:H23"/>
    <mergeCell ref="B32:E32"/>
    <mergeCell ref="F32:H32"/>
    <mergeCell ref="B33:E33"/>
    <mergeCell ref="F33:H33"/>
    <mergeCell ref="B35:I35"/>
    <mergeCell ref="J37:L37"/>
    <mergeCell ref="B28:E29"/>
    <mergeCell ref="F28:H28"/>
    <mergeCell ref="F29:H29"/>
    <mergeCell ref="B30:E30"/>
    <mergeCell ref="F30:H30"/>
    <mergeCell ref="B31:E31"/>
    <mergeCell ref="F31:H31"/>
    <mergeCell ref="B55:C55"/>
    <mergeCell ref="J55:K55"/>
    <mergeCell ref="B56:C56"/>
    <mergeCell ref="B57:C57"/>
    <mergeCell ref="B58:C58"/>
    <mergeCell ref="J58:K58"/>
    <mergeCell ref="B45:E45"/>
    <mergeCell ref="B46:E46"/>
    <mergeCell ref="B47:E47"/>
    <mergeCell ref="B49:L50"/>
    <mergeCell ref="B51:M51"/>
    <mergeCell ref="B52:L52"/>
    <mergeCell ref="B62:C62"/>
    <mergeCell ref="B63:C63"/>
    <mergeCell ref="B64:C64"/>
    <mergeCell ref="B65:C65"/>
    <mergeCell ref="B66:C66"/>
    <mergeCell ref="B67:C67"/>
    <mergeCell ref="B59:C59"/>
    <mergeCell ref="J59:K59"/>
    <mergeCell ref="B60:C60"/>
    <mergeCell ref="J60:K60"/>
    <mergeCell ref="B61:C61"/>
    <mergeCell ref="J61:K61"/>
    <mergeCell ref="B73:C73"/>
    <mergeCell ref="B74:C74"/>
    <mergeCell ref="K74:L74"/>
    <mergeCell ref="B75:C75"/>
    <mergeCell ref="K75:L75"/>
    <mergeCell ref="B76:C76"/>
    <mergeCell ref="K76:L76"/>
    <mergeCell ref="B68:C68"/>
    <mergeCell ref="B69:C69"/>
    <mergeCell ref="B70:C70"/>
    <mergeCell ref="B71:C71"/>
    <mergeCell ref="B72:C72"/>
    <mergeCell ref="J72:K72"/>
    <mergeCell ref="K85:L86"/>
    <mergeCell ref="B86:C86"/>
    <mergeCell ref="B87:C87"/>
    <mergeCell ref="J87:J91"/>
    <mergeCell ref="K87:L91"/>
    <mergeCell ref="B88:C88"/>
    <mergeCell ref="B89:C89"/>
    <mergeCell ref="B77:C77"/>
    <mergeCell ref="K77:L77"/>
    <mergeCell ref="B78:C78"/>
    <mergeCell ref="J78:J84"/>
    <mergeCell ref="K78:L84"/>
    <mergeCell ref="B79:C79"/>
    <mergeCell ref="B80:C80"/>
    <mergeCell ref="B81:C81"/>
    <mergeCell ref="B82:C82"/>
    <mergeCell ref="B83:C83"/>
    <mergeCell ref="B90:C90"/>
    <mergeCell ref="B91:C91"/>
    <mergeCell ref="B92:C92"/>
    <mergeCell ref="B93:C93"/>
    <mergeCell ref="B94:C94"/>
    <mergeCell ref="B95:C95"/>
    <mergeCell ref="B84:C84"/>
    <mergeCell ref="B85:C85"/>
    <mergeCell ref="J85:J86"/>
    <mergeCell ref="B107:D107"/>
    <mergeCell ref="B108:D108"/>
    <mergeCell ref="H98:H99"/>
    <mergeCell ref="L99:L100"/>
    <mergeCell ref="M99:M100"/>
    <mergeCell ref="B100:C100"/>
    <mergeCell ref="B104:D105"/>
    <mergeCell ref="B106:D106"/>
    <mergeCell ref="B96:C96"/>
    <mergeCell ref="B97:C97"/>
    <mergeCell ref="B98:C99"/>
    <mergeCell ref="D98:D99"/>
    <mergeCell ref="E98:E99"/>
    <mergeCell ref="G98:G99"/>
  </mergeCells>
  <pageMargins left="0.7" right="0.7" top="0.78740157499999996" bottom="0.78740157499999996" header="0.3" footer="0.3"/>
  <pageSetup paperSize="9" scale="4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tabSelected="1" topLeftCell="A13" workbookViewId="0">
      <selection activeCell="H44" sqref="A1:H44"/>
    </sheetView>
  </sheetViews>
  <sheetFormatPr defaultRowHeight="15" x14ac:dyDescent="0.25"/>
  <cols>
    <col min="4" max="5" width="14.28515625" customWidth="1"/>
    <col min="6" max="6" width="14.42578125" customWidth="1"/>
    <col min="7" max="7" width="14.28515625" customWidth="1"/>
    <col min="8" max="8" width="14.7109375" customWidth="1"/>
  </cols>
  <sheetData>
    <row r="1" spans="2:18" ht="15.75" thickBot="1" x14ac:dyDescent="0.3">
      <c r="B1" s="417" t="s">
        <v>164</v>
      </c>
      <c r="C1" s="418"/>
      <c r="D1" s="418"/>
      <c r="E1" s="418"/>
      <c r="F1" s="209"/>
      <c r="G1" s="209"/>
    </row>
    <row r="2" spans="2:18" ht="45.75" thickBot="1" x14ac:dyDescent="0.3">
      <c r="B2" s="305" t="s">
        <v>70</v>
      </c>
      <c r="C2" s="306"/>
      <c r="D2" s="210">
        <v>2024</v>
      </c>
      <c r="E2" s="211">
        <v>2025</v>
      </c>
      <c r="F2" s="212" t="s">
        <v>160</v>
      </c>
      <c r="G2" s="212" t="s">
        <v>161</v>
      </c>
      <c r="H2" s="213" t="s">
        <v>162</v>
      </c>
      <c r="I2" s="117"/>
      <c r="J2" s="117"/>
      <c r="K2" s="117"/>
    </row>
    <row r="3" spans="2:18" ht="15.75" thickBot="1" x14ac:dyDescent="0.3">
      <c r="B3" s="258" t="s">
        <v>77</v>
      </c>
      <c r="C3" s="259"/>
      <c r="D3" s="214">
        <v>67500</v>
      </c>
      <c r="E3" s="215">
        <v>69000</v>
      </c>
      <c r="F3" s="216">
        <f>E3-D3</f>
        <v>1500</v>
      </c>
      <c r="G3" s="216">
        <v>66300</v>
      </c>
      <c r="H3" s="217">
        <v>-1200</v>
      </c>
      <c r="I3" s="117"/>
      <c r="J3" s="117"/>
      <c r="K3" s="117"/>
    </row>
    <row r="4" spans="2:18" ht="15.75" thickBot="1" x14ac:dyDescent="0.3">
      <c r="B4" s="262" t="s">
        <v>79</v>
      </c>
      <c r="C4" s="263"/>
      <c r="D4" s="214">
        <v>67900</v>
      </c>
      <c r="E4" s="215">
        <v>66800</v>
      </c>
      <c r="F4" s="216">
        <f t="shared" ref="F4:F44" si="0">E4-D4</f>
        <v>-1100</v>
      </c>
      <c r="G4" s="216">
        <v>67700</v>
      </c>
      <c r="H4" s="217">
        <v>-200</v>
      </c>
      <c r="I4" s="117"/>
      <c r="J4" s="117"/>
      <c r="K4" s="117"/>
    </row>
    <row r="5" spans="2:18" ht="15.75" thickBot="1" x14ac:dyDescent="0.3">
      <c r="B5" s="419" t="s">
        <v>81</v>
      </c>
      <c r="C5" s="420"/>
      <c r="D5" s="214">
        <v>166100</v>
      </c>
      <c r="E5" s="215">
        <v>172700</v>
      </c>
      <c r="F5" s="216">
        <f t="shared" si="0"/>
        <v>6600</v>
      </c>
      <c r="G5" s="216">
        <v>171900</v>
      </c>
      <c r="H5" s="217">
        <v>5800</v>
      </c>
      <c r="I5" s="117"/>
      <c r="J5" s="117"/>
      <c r="K5" s="117"/>
    </row>
    <row r="6" spans="2:18" ht="15.75" thickBot="1" x14ac:dyDescent="0.3">
      <c r="B6" s="262" t="s">
        <v>85</v>
      </c>
      <c r="C6" s="263"/>
      <c r="D6" s="214">
        <v>39700</v>
      </c>
      <c r="E6" s="215">
        <v>40400</v>
      </c>
      <c r="F6" s="216">
        <f t="shared" si="0"/>
        <v>700</v>
      </c>
      <c r="G6" s="216">
        <v>40600</v>
      </c>
      <c r="H6" s="217">
        <v>900</v>
      </c>
      <c r="I6" s="117"/>
      <c r="J6" s="117"/>
      <c r="K6" s="117"/>
    </row>
    <row r="7" spans="2:18" ht="15.75" thickBot="1" x14ac:dyDescent="0.3">
      <c r="B7" s="258" t="s">
        <v>88</v>
      </c>
      <c r="C7" s="259"/>
      <c r="D7" s="214">
        <v>115100</v>
      </c>
      <c r="E7" s="215">
        <v>121000</v>
      </c>
      <c r="F7" s="216">
        <f t="shared" si="0"/>
        <v>5900</v>
      </c>
      <c r="G7" s="216">
        <v>115100</v>
      </c>
      <c r="H7" s="217">
        <v>0</v>
      </c>
      <c r="I7" s="117"/>
      <c r="J7" s="117"/>
      <c r="K7" s="117"/>
    </row>
    <row r="8" spans="2:18" ht="15.75" thickBot="1" x14ac:dyDescent="0.3">
      <c r="B8" s="262" t="s">
        <v>91</v>
      </c>
      <c r="C8" s="263"/>
      <c r="D8" s="214">
        <v>99100</v>
      </c>
      <c r="E8" s="215">
        <v>98800</v>
      </c>
      <c r="F8" s="216">
        <f t="shared" si="0"/>
        <v>-300</v>
      </c>
      <c r="G8" s="216">
        <v>101200</v>
      </c>
      <c r="H8" s="217">
        <v>2100</v>
      </c>
      <c r="I8" s="117"/>
      <c r="J8" s="117"/>
      <c r="K8" s="117"/>
    </row>
    <row r="9" spans="2:18" ht="15.75" thickBot="1" x14ac:dyDescent="0.3">
      <c r="B9" s="258" t="s">
        <v>93</v>
      </c>
      <c r="C9" s="259"/>
      <c r="D9" s="214">
        <v>19500</v>
      </c>
      <c r="E9" s="215">
        <v>20000</v>
      </c>
      <c r="F9" s="216">
        <f t="shared" si="0"/>
        <v>500</v>
      </c>
      <c r="G9" s="216">
        <v>19700</v>
      </c>
      <c r="H9" s="217">
        <v>200</v>
      </c>
      <c r="I9" s="117"/>
      <c r="J9" s="117"/>
      <c r="K9" s="117"/>
    </row>
    <row r="10" spans="2:18" ht="15.75" thickBot="1" x14ac:dyDescent="0.3">
      <c r="B10" s="287" t="s">
        <v>94</v>
      </c>
      <c r="C10" s="288"/>
      <c r="D10" s="214">
        <v>276000</v>
      </c>
      <c r="E10" s="215">
        <v>277600</v>
      </c>
      <c r="F10" s="216">
        <f t="shared" si="0"/>
        <v>1600</v>
      </c>
      <c r="G10" s="216">
        <v>278400</v>
      </c>
      <c r="H10" s="217">
        <v>2400</v>
      </c>
      <c r="I10" s="218"/>
      <c r="J10" s="218"/>
      <c r="K10" s="218"/>
      <c r="L10" s="218"/>
      <c r="M10" s="218"/>
      <c r="N10" s="218"/>
      <c r="O10" s="218"/>
      <c r="P10" s="218"/>
      <c r="Q10" s="218"/>
      <c r="R10" s="218"/>
    </row>
    <row r="11" spans="2:18" ht="15.75" thickBot="1" x14ac:dyDescent="0.3">
      <c r="B11" s="240" t="s">
        <v>97</v>
      </c>
      <c r="C11" s="241"/>
      <c r="D11" s="214">
        <v>40600</v>
      </c>
      <c r="E11" s="215">
        <v>39200</v>
      </c>
      <c r="F11" s="216">
        <f t="shared" si="0"/>
        <v>-1400</v>
      </c>
      <c r="G11" s="216">
        <v>40200</v>
      </c>
      <c r="H11" s="217">
        <v>-400</v>
      </c>
    </row>
    <row r="12" spans="2:18" ht="15.75" thickBot="1" x14ac:dyDescent="0.3">
      <c r="B12" s="262" t="s">
        <v>100</v>
      </c>
      <c r="C12" s="263"/>
      <c r="D12" s="214">
        <v>69500</v>
      </c>
      <c r="E12" s="215">
        <v>69900</v>
      </c>
      <c r="F12" s="216">
        <f t="shared" si="0"/>
        <v>400</v>
      </c>
      <c r="G12" s="216">
        <v>69900</v>
      </c>
      <c r="H12" s="217">
        <v>400</v>
      </c>
    </row>
    <row r="13" spans="2:18" ht="15.75" thickBot="1" x14ac:dyDescent="0.3">
      <c r="B13" s="240" t="s">
        <v>102</v>
      </c>
      <c r="C13" s="241"/>
      <c r="D13" s="214">
        <v>24300</v>
      </c>
      <c r="E13" s="215">
        <v>23800</v>
      </c>
      <c r="F13" s="216">
        <f t="shared" si="0"/>
        <v>-500</v>
      </c>
      <c r="G13" s="216">
        <v>23800</v>
      </c>
      <c r="H13" s="217">
        <v>-500</v>
      </c>
    </row>
    <row r="14" spans="2:18" ht="15.75" thickBot="1" x14ac:dyDescent="0.3">
      <c r="B14" s="262" t="s">
        <v>104</v>
      </c>
      <c r="C14" s="263"/>
      <c r="D14" s="214">
        <v>88600</v>
      </c>
      <c r="E14" s="215">
        <v>85200</v>
      </c>
      <c r="F14" s="216">
        <f t="shared" si="0"/>
        <v>-3400</v>
      </c>
      <c r="G14" s="216">
        <v>86700</v>
      </c>
      <c r="H14" s="217">
        <v>-1900</v>
      </c>
    </row>
    <row r="15" spans="2:18" ht="15.75" thickBot="1" x14ac:dyDescent="0.3">
      <c r="B15" s="240" t="s">
        <v>106</v>
      </c>
      <c r="C15" s="241"/>
      <c r="D15" s="214">
        <v>16700</v>
      </c>
      <c r="E15" s="215">
        <v>17100</v>
      </c>
      <c r="F15" s="216">
        <f t="shared" si="0"/>
        <v>400</v>
      </c>
      <c r="G15" s="216">
        <v>16400</v>
      </c>
      <c r="H15" s="217">
        <v>-300</v>
      </c>
    </row>
    <row r="16" spans="2:18" ht="15.75" thickBot="1" x14ac:dyDescent="0.3">
      <c r="B16" s="256" t="s">
        <v>108</v>
      </c>
      <c r="C16" s="257"/>
      <c r="D16" s="214">
        <v>64300</v>
      </c>
      <c r="E16" s="215">
        <v>65800</v>
      </c>
      <c r="F16" s="216">
        <f t="shared" si="0"/>
        <v>1500</v>
      </c>
      <c r="G16" s="216">
        <v>63700</v>
      </c>
      <c r="H16" s="217">
        <v>-600</v>
      </c>
    </row>
    <row r="17" spans="2:18" ht="15.75" thickBot="1" x14ac:dyDescent="0.3">
      <c r="B17" s="240" t="s">
        <v>109</v>
      </c>
      <c r="C17" s="241"/>
      <c r="D17" s="214">
        <v>184600</v>
      </c>
      <c r="E17" s="215">
        <v>185100</v>
      </c>
      <c r="F17" s="216">
        <f t="shared" si="0"/>
        <v>500</v>
      </c>
      <c r="G17" s="216">
        <v>182800</v>
      </c>
      <c r="H17" s="217">
        <v>-1800</v>
      </c>
    </row>
    <row r="18" spans="2:18" ht="15.75" thickBot="1" x14ac:dyDescent="0.3">
      <c r="B18" s="262" t="s">
        <v>110</v>
      </c>
      <c r="C18" s="263"/>
      <c r="D18" s="214">
        <v>71700</v>
      </c>
      <c r="E18" s="215">
        <v>69400</v>
      </c>
      <c r="F18" s="216">
        <f t="shared" si="0"/>
        <v>-2300</v>
      </c>
      <c r="G18" s="216">
        <v>70500</v>
      </c>
      <c r="H18" s="217">
        <v>-1200</v>
      </c>
    </row>
    <row r="19" spans="2:18" ht="15.75" thickBot="1" x14ac:dyDescent="0.3">
      <c r="B19" s="258" t="s">
        <v>111</v>
      </c>
      <c r="C19" s="259"/>
      <c r="D19" s="214">
        <v>23900</v>
      </c>
      <c r="E19" s="215">
        <v>24800</v>
      </c>
      <c r="F19" s="216">
        <f t="shared" si="0"/>
        <v>900</v>
      </c>
      <c r="G19" s="216">
        <v>24500</v>
      </c>
      <c r="H19" s="217">
        <v>600</v>
      </c>
    </row>
    <row r="20" spans="2:18" ht="15.75" thickBot="1" x14ac:dyDescent="0.3">
      <c r="B20" s="258" t="s">
        <v>113</v>
      </c>
      <c r="C20" s="259"/>
      <c r="D20" s="214">
        <v>66600</v>
      </c>
      <c r="E20" s="215">
        <v>68500</v>
      </c>
      <c r="F20" s="216">
        <f t="shared" si="0"/>
        <v>1900</v>
      </c>
      <c r="G20" s="216">
        <v>67400</v>
      </c>
      <c r="H20" s="217">
        <v>800</v>
      </c>
    </row>
    <row r="21" spans="2:18" ht="15.75" thickBot="1" x14ac:dyDescent="0.3">
      <c r="B21" s="258" t="s">
        <v>116</v>
      </c>
      <c r="C21" s="259"/>
      <c r="D21" s="214">
        <v>26700</v>
      </c>
      <c r="E21" s="215">
        <v>27000</v>
      </c>
      <c r="F21" s="216">
        <f t="shared" si="0"/>
        <v>300</v>
      </c>
      <c r="G21" s="216">
        <v>25800</v>
      </c>
      <c r="H21" s="217">
        <v>-900</v>
      </c>
    </row>
    <row r="22" spans="2:18" ht="15.75" thickBot="1" x14ac:dyDescent="0.3">
      <c r="B22" s="258" t="s">
        <v>119</v>
      </c>
      <c r="C22" s="259"/>
      <c r="D22" s="214">
        <v>36900</v>
      </c>
      <c r="E22" s="215">
        <v>37400</v>
      </c>
      <c r="F22" s="216">
        <f t="shared" si="0"/>
        <v>500</v>
      </c>
      <c r="G22" s="216">
        <v>36500</v>
      </c>
      <c r="H22" s="217">
        <v>-400</v>
      </c>
    </row>
    <row r="23" spans="2:18" ht="15.75" thickBot="1" x14ac:dyDescent="0.3">
      <c r="B23" s="258" t="s">
        <v>121</v>
      </c>
      <c r="C23" s="259"/>
      <c r="D23" s="214">
        <v>17200</v>
      </c>
      <c r="E23" s="215">
        <v>17800</v>
      </c>
      <c r="F23" s="216">
        <f t="shared" si="0"/>
        <v>600</v>
      </c>
      <c r="G23" s="216">
        <v>17400</v>
      </c>
      <c r="H23" s="217">
        <v>200</v>
      </c>
    </row>
    <row r="24" spans="2:18" ht="15.75" thickBot="1" x14ac:dyDescent="0.3">
      <c r="B24" s="262" t="s">
        <v>124</v>
      </c>
      <c r="C24" s="263"/>
      <c r="D24" s="214">
        <v>14500</v>
      </c>
      <c r="E24" s="215">
        <v>14700</v>
      </c>
      <c r="F24" s="216">
        <f t="shared" si="0"/>
        <v>200</v>
      </c>
      <c r="G24" s="216">
        <v>14900</v>
      </c>
      <c r="H24" s="217">
        <v>400</v>
      </c>
    </row>
    <row r="25" spans="2:18" ht="15.75" thickBot="1" x14ac:dyDescent="0.3">
      <c r="B25" s="240" t="s">
        <v>127</v>
      </c>
      <c r="C25" s="241"/>
      <c r="D25" s="214">
        <v>50900</v>
      </c>
      <c r="E25" s="215">
        <v>48300</v>
      </c>
      <c r="F25" s="216">
        <f t="shared" si="0"/>
        <v>-2600</v>
      </c>
      <c r="G25" s="216">
        <v>49500</v>
      </c>
      <c r="H25" s="217">
        <v>-1400</v>
      </c>
    </row>
    <row r="26" spans="2:18" ht="15.75" thickBot="1" x14ac:dyDescent="0.3">
      <c r="B26" s="262" t="s">
        <v>130</v>
      </c>
      <c r="C26" s="263"/>
      <c r="D26" s="214">
        <v>81700</v>
      </c>
      <c r="E26" s="215">
        <v>81500</v>
      </c>
      <c r="F26" s="216">
        <f t="shared" si="0"/>
        <v>-200</v>
      </c>
      <c r="G26" s="216">
        <v>81000</v>
      </c>
      <c r="H26" s="217">
        <v>-700</v>
      </c>
    </row>
    <row r="27" spans="2:18" ht="15.75" thickBot="1" x14ac:dyDescent="0.3">
      <c r="B27" s="260" t="s">
        <v>131</v>
      </c>
      <c r="C27" s="261"/>
      <c r="D27" s="214">
        <v>45300</v>
      </c>
      <c r="E27" s="215">
        <v>47400</v>
      </c>
      <c r="F27" s="216">
        <f t="shared" si="0"/>
        <v>2100</v>
      </c>
      <c r="G27" s="216">
        <v>47200</v>
      </c>
      <c r="H27" s="217">
        <v>1900</v>
      </c>
    </row>
    <row r="28" spans="2:18" ht="15.75" thickBot="1" x14ac:dyDescent="0.3">
      <c r="B28" s="287" t="s">
        <v>132</v>
      </c>
      <c r="C28" s="288"/>
      <c r="D28" s="214">
        <v>76600</v>
      </c>
      <c r="E28" s="215">
        <v>76700</v>
      </c>
      <c r="F28" s="216">
        <f t="shared" si="0"/>
        <v>100</v>
      </c>
      <c r="G28" s="216">
        <v>77100</v>
      </c>
      <c r="H28" s="217">
        <v>500</v>
      </c>
    </row>
    <row r="29" spans="2:18" ht="15.75" thickBot="1" x14ac:dyDescent="0.3">
      <c r="B29" s="289" t="s">
        <v>123</v>
      </c>
      <c r="C29" s="290"/>
      <c r="D29" s="214">
        <v>133800</v>
      </c>
      <c r="E29" s="215">
        <v>132900</v>
      </c>
      <c r="F29" s="216">
        <f t="shared" si="0"/>
        <v>-900</v>
      </c>
      <c r="G29" s="216">
        <v>132800</v>
      </c>
      <c r="H29" s="217">
        <v>-1000</v>
      </c>
    </row>
    <row r="30" spans="2:18" ht="15.75" thickBot="1" x14ac:dyDescent="0.3">
      <c r="B30" s="291" t="s">
        <v>133</v>
      </c>
      <c r="C30" s="292"/>
      <c r="D30" s="214">
        <v>33200</v>
      </c>
      <c r="E30" s="215">
        <v>35800</v>
      </c>
      <c r="F30" s="216">
        <f t="shared" si="0"/>
        <v>2600</v>
      </c>
      <c r="G30" s="216">
        <v>34100</v>
      </c>
      <c r="H30" s="217">
        <v>900</v>
      </c>
    </row>
    <row r="31" spans="2:18" ht="15.75" thickBot="1" x14ac:dyDescent="0.3">
      <c r="B31" s="260" t="s">
        <v>134</v>
      </c>
      <c r="C31" s="261"/>
      <c r="D31" s="214">
        <v>274400</v>
      </c>
      <c r="E31" s="215">
        <v>278700</v>
      </c>
      <c r="F31" s="216">
        <f t="shared" si="0"/>
        <v>4300</v>
      </c>
      <c r="G31" s="216">
        <v>278300</v>
      </c>
      <c r="H31" s="217">
        <v>3900</v>
      </c>
      <c r="I31" s="218"/>
      <c r="J31" s="218"/>
      <c r="K31" s="218"/>
      <c r="L31" s="218"/>
      <c r="M31" s="218"/>
      <c r="N31" s="218"/>
      <c r="O31" s="218"/>
      <c r="P31" s="218"/>
      <c r="Q31" s="218"/>
      <c r="R31" s="218"/>
    </row>
    <row r="32" spans="2:18" ht="15.75" thickBot="1" x14ac:dyDescent="0.3">
      <c r="B32" s="262" t="s">
        <v>135</v>
      </c>
      <c r="C32" s="263"/>
      <c r="D32" s="214">
        <v>90500</v>
      </c>
      <c r="E32" s="215">
        <v>91800</v>
      </c>
      <c r="F32" s="216">
        <f t="shared" si="0"/>
        <v>1300</v>
      </c>
      <c r="G32" s="216">
        <v>90300</v>
      </c>
      <c r="H32" s="217">
        <v>-200</v>
      </c>
    </row>
    <row r="33" spans="1:8" ht="15.75" thickBot="1" x14ac:dyDescent="0.3">
      <c r="B33" s="258" t="s">
        <v>138</v>
      </c>
      <c r="C33" s="259"/>
      <c r="D33" s="214">
        <v>58700</v>
      </c>
      <c r="E33" s="215">
        <v>60800</v>
      </c>
      <c r="F33" s="216">
        <f t="shared" si="0"/>
        <v>2100</v>
      </c>
      <c r="G33" s="216">
        <v>58400</v>
      </c>
      <c r="H33" s="217">
        <v>-300</v>
      </c>
    </row>
    <row r="34" spans="1:8" ht="15.75" thickBot="1" x14ac:dyDescent="0.3">
      <c r="B34" s="262" t="s">
        <v>139</v>
      </c>
      <c r="C34" s="263"/>
      <c r="D34" s="214">
        <v>211800</v>
      </c>
      <c r="E34" s="215">
        <v>210500</v>
      </c>
      <c r="F34" s="216">
        <f t="shared" si="0"/>
        <v>-1300</v>
      </c>
      <c r="G34" s="216">
        <v>209600</v>
      </c>
      <c r="H34" s="217">
        <v>-2200</v>
      </c>
    </row>
    <row r="35" spans="1:8" ht="15.75" thickBot="1" x14ac:dyDescent="0.3">
      <c r="B35" s="258" t="s">
        <v>142</v>
      </c>
      <c r="C35" s="259"/>
      <c r="D35" s="214">
        <v>38300</v>
      </c>
      <c r="E35" s="215">
        <v>41300</v>
      </c>
      <c r="F35" s="216">
        <f t="shared" si="0"/>
        <v>3000</v>
      </c>
      <c r="G35" s="216">
        <v>39800</v>
      </c>
      <c r="H35" s="217">
        <v>1500</v>
      </c>
    </row>
    <row r="36" spans="1:8" ht="15.75" thickBot="1" x14ac:dyDescent="0.3">
      <c r="B36" s="262" t="s">
        <v>143</v>
      </c>
      <c r="C36" s="263"/>
      <c r="D36" s="214">
        <v>102500</v>
      </c>
      <c r="E36" s="215">
        <v>100000</v>
      </c>
      <c r="F36" s="216">
        <f t="shared" si="0"/>
        <v>-2500</v>
      </c>
      <c r="G36" s="216">
        <v>99800</v>
      </c>
      <c r="H36" s="217">
        <v>-2700</v>
      </c>
    </row>
    <row r="37" spans="1:8" ht="15.75" thickBot="1" x14ac:dyDescent="0.3">
      <c r="B37" s="293" t="s">
        <v>126</v>
      </c>
      <c r="C37" s="294"/>
      <c r="D37" s="214">
        <v>174300</v>
      </c>
      <c r="E37" s="215">
        <v>169600</v>
      </c>
      <c r="F37" s="216">
        <f t="shared" si="0"/>
        <v>-4700</v>
      </c>
      <c r="G37" s="216">
        <v>170900</v>
      </c>
      <c r="H37" s="217">
        <v>-3400</v>
      </c>
    </row>
    <row r="38" spans="1:8" ht="15.75" thickBot="1" x14ac:dyDescent="0.3">
      <c r="B38" s="262" t="s">
        <v>144</v>
      </c>
      <c r="C38" s="263"/>
      <c r="D38" s="214">
        <v>56900</v>
      </c>
      <c r="E38" s="215">
        <v>56500</v>
      </c>
      <c r="F38" s="216">
        <f t="shared" si="0"/>
        <v>-400</v>
      </c>
      <c r="G38" s="216">
        <v>56700</v>
      </c>
      <c r="H38" s="217">
        <v>-200</v>
      </c>
    </row>
    <row r="39" spans="1:8" ht="15.75" thickBot="1" x14ac:dyDescent="0.3">
      <c r="B39" s="254" t="s">
        <v>145</v>
      </c>
      <c r="C39" s="255"/>
      <c r="D39" s="214">
        <v>72400</v>
      </c>
      <c r="E39" s="215">
        <v>71300</v>
      </c>
      <c r="F39" s="216">
        <f t="shared" si="0"/>
        <v>-1100</v>
      </c>
      <c r="G39" s="216">
        <v>70100</v>
      </c>
      <c r="H39" s="217">
        <v>-2300</v>
      </c>
    </row>
    <row r="40" spans="1:8" ht="15.75" thickBot="1" x14ac:dyDescent="0.3">
      <c r="B40" s="256" t="s">
        <v>146</v>
      </c>
      <c r="C40" s="257"/>
      <c r="D40" s="214">
        <v>86000</v>
      </c>
      <c r="E40" s="215">
        <v>88000</v>
      </c>
      <c r="F40" s="216">
        <f t="shared" si="0"/>
        <v>2000</v>
      </c>
      <c r="G40" s="216">
        <v>84500</v>
      </c>
      <c r="H40" s="217">
        <v>-1500</v>
      </c>
    </row>
    <row r="41" spans="1:8" ht="15.75" thickBot="1" x14ac:dyDescent="0.3">
      <c r="B41" s="258" t="s">
        <v>147</v>
      </c>
      <c r="C41" s="259"/>
      <c r="D41" s="214">
        <v>593900</v>
      </c>
      <c r="E41" s="215">
        <v>629300</v>
      </c>
      <c r="F41" s="216">
        <f t="shared" si="0"/>
        <v>35400</v>
      </c>
      <c r="G41" s="216">
        <v>592500</v>
      </c>
      <c r="H41" s="217">
        <v>-1400</v>
      </c>
    </row>
    <row r="42" spans="1:8" ht="15.75" thickBot="1" x14ac:dyDescent="0.3">
      <c r="B42" s="256" t="s">
        <v>148</v>
      </c>
      <c r="C42" s="257"/>
      <c r="D42" s="214">
        <v>39300</v>
      </c>
      <c r="E42" s="215">
        <v>41200</v>
      </c>
      <c r="F42" s="216">
        <f t="shared" si="0"/>
        <v>1900</v>
      </c>
      <c r="G42" s="216">
        <v>39000</v>
      </c>
      <c r="H42" s="217">
        <v>-300</v>
      </c>
    </row>
    <row r="43" spans="1:8" ht="15.75" thickBot="1" x14ac:dyDescent="0.3">
      <c r="B43" s="240" t="s">
        <v>149</v>
      </c>
      <c r="C43" s="241"/>
      <c r="D43" s="219">
        <v>98600</v>
      </c>
      <c r="E43" s="220">
        <v>97100</v>
      </c>
      <c r="F43" s="216">
        <f t="shared" si="0"/>
        <v>-1500</v>
      </c>
      <c r="G43" s="216">
        <v>97600</v>
      </c>
      <c r="H43" s="217">
        <v>-1000</v>
      </c>
    </row>
    <row r="44" spans="1:8" ht="15.75" thickBot="1" x14ac:dyDescent="0.3">
      <c r="B44" s="221"/>
      <c r="C44" s="222"/>
      <c r="D44" s="223">
        <f>SUM(D3:D43)</f>
        <v>3916100</v>
      </c>
      <c r="E44" s="224">
        <v>3970700</v>
      </c>
      <c r="F44" s="216">
        <f t="shared" si="0"/>
        <v>54600</v>
      </c>
      <c r="G44" s="225">
        <v>3910600</v>
      </c>
      <c r="H44" s="226">
        <v>-5500</v>
      </c>
    </row>
    <row r="46" spans="1:8" x14ac:dyDescent="0.25">
      <c r="A46" s="117"/>
      <c r="B46" s="312"/>
      <c r="C46" s="312"/>
    </row>
    <row r="47" spans="1:8" x14ac:dyDescent="0.25">
      <c r="A47" s="117"/>
      <c r="B47" s="312"/>
      <c r="C47" s="312"/>
    </row>
  </sheetData>
  <mergeCells count="45">
    <mergeCell ref="B12:C12"/>
    <mergeCell ref="B1:E1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24:C24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36:C36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43:C43"/>
    <mergeCell ref="B46:C46"/>
    <mergeCell ref="B47:C47"/>
    <mergeCell ref="B37:C37"/>
    <mergeCell ref="B38:C38"/>
    <mergeCell ref="B39:C39"/>
    <mergeCell ref="B40:C40"/>
    <mergeCell ref="B41:C41"/>
    <mergeCell ref="B42:C42"/>
  </mergeCells>
  <pageMargins left="0.7" right="0.7" top="0.78740157499999996" bottom="0.78740157499999996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Minimální síť 2025 Final</vt:lpstr>
      <vt:lpstr>obce 2024-2025 po změně</vt:lpstr>
      <vt:lpstr>'Minimální síť 2025 Final'!Oblast_tisku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Prchalová</dc:creator>
  <cp:lastModifiedBy>Marcela Prchalová</cp:lastModifiedBy>
  <cp:lastPrinted>2024-08-22T09:08:51Z</cp:lastPrinted>
  <dcterms:created xsi:type="dcterms:W3CDTF">2024-08-13T11:49:34Z</dcterms:created>
  <dcterms:modified xsi:type="dcterms:W3CDTF">2024-08-22T09:08:56Z</dcterms:modified>
</cp:coreProperties>
</file>