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 activeTab="1"/>
  </bookViews>
  <sheets>
    <sheet name="Spolufinancování 2024 final" sheetId="3" r:id="rId1"/>
    <sheet name="obce 2023 - 2024" sheetId="4" r:id="rId2"/>
  </sheets>
  <definedNames>
    <definedName name="_xlnm.Print_Area" localSheetId="0">'Spolufinancování 2024 final'!$B$54:$N$107</definedName>
  </definedNames>
  <calcPr calcId="162913"/>
</workbook>
</file>

<file path=xl/calcChain.xml><?xml version="1.0" encoding="utf-8"?>
<calcChain xmlns="http://schemas.openxmlformats.org/spreadsheetml/2006/main">
  <c r="E100" i="3" l="1"/>
  <c r="L54" i="3" l="1"/>
  <c r="H106" i="3"/>
  <c r="H105" i="3"/>
  <c r="F44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3" i="4"/>
  <c r="E44" i="4"/>
  <c r="Q35" i="3"/>
  <c r="M36" i="3"/>
  <c r="H36" i="3"/>
  <c r="J12" i="3"/>
  <c r="J11" i="3"/>
  <c r="J6" i="3"/>
  <c r="J7" i="3" l="1"/>
  <c r="J32" i="3" l="1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0" i="3"/>
  <c r="J9" i="3" l="1"/>
  <c r="J8" i="3"/>
  <c r="H39" i="3" l="1"/>
  <c r="K39" i="3" s="1"/>
  <c r="H96" i="3"/>
  <c r="S33" i="3"/>
  <c r="L63" i="3"/>
  <c r="L67" i="3"/>
  <c r="F44" i="3"/>
  <c r="D99" i="3"/>
  <c r="K40" i="3" l="1"/>
  <c r="E55" i="3" s="1"/>
  <c r="D44" i="4"/>
  <c r="E105" i="3"/>
  <c r="F46" i="3"/>
  <c r="F45" i="3"/>
  <c r="H45" i="3"/>
  <c r="H42" i="3"/>
  <c r="E61" i="3" l="1"/>
  <c r="L66" i="3"/>
  <c r="L65" i="3"/>
  <c r="L64" i="3"/>
  <c r="N63" i="3"/>
  <c r="L62" i="3"/>
  <c r="N62" i="3" s="1"/>
  <c r="J34" i="3"/>
  <c r="S35" i="3"/>
  <c r="L32" i="3"/>
  <c r="R32" i="3" s="1"/>
  <c r="L31" i="3"/>
  <c r="N31" i="3" s="1"/>
  <c r="L30" i="3"/>
  <c r="N30" i="3" s="1"/>
  <c r="L29" i="3"/>
  <c r="N29" i="3" s="1"/>
  <c r="L28" i="3"/>
  <c r="N28" i="3" s="1"/>
  <c r="L27" i="3"/>
  <c r="N27" i="3" s="1"/>
  <c r="L26" i="3"/>
  <c r="N26" i="3" s="1"/>
  <c r="L56" i="3" s="1"/>
  <c r="F57" i="3" s="1"/>
  <c r="L25" i="3"/>
  <c r="N25" i="3" s="1"/>
  <c r="L24" i="3"/>
  <c r="N24" i="3" s="1"/>
  <c r="L23" i="3"/>
  <c r="N23" i="3" s="1"/>
  <c r="L58" i="3" s="1"/>
  <c r="F81" i="3" s="1"/>
  <c r="L22" i="3"/>
  <c r="N22" i="3" s="1"/>
  <c r="L59" i="3" s="1"/>
  <c r="L21" i="3"/>
  <c r="N21" i="3" s="1"/>
  <c r="L20" i="3"/>
  <c r="N20" i="3" s="1"/>
  <c r="L19" i="3"/>
  <c r="N19" i="3" s="1"/>
  <c r="L18" i="3"/>
  <c r="N18" i="3" s="1"/>
  <c r="L17" i="3"/>
  <c r="N17" i="3" s="1"/>
  <c r="L57" i="3" s="1"/>
  <c r="N58" i="3" s="1"/>
  <c r="F61" i="3" s="1"/>
  <c r="L16" i="3"/>
  <c r="P16" i="3" s="1"/>
  <c r="L15" i="3"/>
  <c r="N15" i="3" s="1"/>
  <c r="L14" i="3"/>
  <c r="N14" i="3" s="1"/>
  <c r="L13" i="3"/>
  <c r="N13" i="3" s="1"/>
  <c r="L12" i="3"/>
  <c r="N12" i="3" s="1"/>
  <c r="L11" i="3"/>
  <c r="N11" i="3" s="1"/>
  <c r="L10" i="3"/>
  <c r="N10" i="3" s="1"/>
  <c r="L9" i="3"/>
  <c r="N9" i="3" s="1"/>
  <c r="L8" i="3"/>
  <c r="R8" i="3" s="1"/>
  <c r="L7" i="3"/>
  <c r="R7" i="3" s="1"/>
  <c r="L6" i="3"/>
  <c r="P6" i="3" s="1"/>
  <c r="G61" i="3" l="1"/>
  <c r="L55" i="3"/>
  <c r="F89" i="3" s="1"/>
  <c r="F98" i="3"/>
  <c r="E106" i="3"/>
  <c r="P8" i="3"/>
  <c r="R19" i="3"/>
  <c r="N7" i="3"/>
  <c r="P7" i="3"/>
  <c r="N32" i="3"/>
  <c r="E107" i="3"/>
  <c r="F85" i="3"/>
  <c r="F73" i="3"/>
  <c r="F87" i="3"/>
  <c r="F75" i="3"/>
  <c r="F71" i="3"/>
  <c r="F59" i="3"/>
  <c r="F92" i="3"/>
  <c r="F72" i="3"/>
  <c r="F68" i="3"/>
  <c r="F55" i="3"/>
  <c r="F74" i="3"/>
  <c r="F94" i="3"/>
  <c r="P15" i="3"/>
  <c r="N6" i="3"/>
  <c r="P14" i="3"/>
  <c r="R15" i="3"/>
  <c r="N16" i="3"/>
  <c r="L60" i="3" s="1"/>
  <c r="N60" i="3"/>
  <c r="N59" i="3"/>
  <c r="F97" i="3" s="1"/>
  <c r="N8" i="3"/>
  <c r="R14" i="3"/>
  <c r="L34" i="3"/>
  <c r="N57" i="3"/>
  <c r="F93" i="3" s="1"/>
  <c r="F83" i="3" l="1"/>
  <c r="F79" i="3"/>
  <c r="F80" i="3"/>
  <c r="F62" i="3"/>
  <c r="F77" i="3"/>
  <c r="F69" i="3"/>
  <c r="F63" i="3"/>
  <c r="F95" i="3"/>
  <c r="F91" i="3"/>
  <c r="F88" i="3"/>
  <c r="F84" i="3"/>
  <c r="F76" i="3"/>
  <c r="F67" i="3"/>
  <c r="F66" i="3"/>
  <c r="F65" i="3"/>
  <c r="F64" i="3"/>
  <c r="F82" i="3"/>
  <c r="F86" i="3"/>
  <c r="F70" i="3"/>
  <c r="F60" i="3"/>
  <c r="F56" i="3"/>
  <c r="F90" i="3"/>
  <c r="F58" i="3"/>
  <c r="F78" i="3"/>
  <c r="F100" i="3" l="1"/>
  <c r="F96" i="3"/>
  <c r="E97" i="3"/>
  <c r="E103" i="3"/>
  <c r="G97" i="3" l="1"/>
  <c r="E92" i="3"/>
  <c r="G92" i="3" s="1"/>
  <c r="E88" i="3"/>
  <c r="G88" i="3" s="1"/>
  <c r="E84" i="3"/>
  <c r="G84" i="3" s="1"/>
  <c r="E80" i="3"/>
  <c r="G80" i="3" s="1"/>
  <c r="E76" i="3"/>
  <c r="G76" i="3" s="1"/>
  <c r="E72" i="3"/>
  <c r="G72" i="3" s="1"/>
  <c r="E68" i="3"/>
  <c r="G68" i="3" s="1"/>
  <c r="E67" i="3"/>
  <c r="G67" i="3" s="1"/>
  <c r="E66" i="3"/>
  <c r="G66" i="3" s="1"/>
  <c r="E65" i="3"/>
  <c r="G65" i="3" s="1"/>
  <c r="E64" i="3"/>
  <c r="G64" i="3" s="1"/>
  <c r="E94" i="3"/>
  <c r="G94" i="3" s="1"/>
  <c r="E90" i="3"/>
  <c r="G90" i="3" s="1"/>
  <c r="E86" i="3"/>
  <c r="G86" i="3" s="1"/>
  <c r="E82" i="3"/>
  <c r="G82" i="3" s="1"/>
  <c r="E78" i="3"/>
  <c r="G78" i="3" s="1"/>
  <c r="E74" i="3"/>
  <c r="G74" i="3" s="1"/>
  <c r="E70" i="3"/>
  <c r="G70" i="3" s="1"/>
  <c r="E62" i="3"/>
  <c r="G62" i="3" s="1"/>
  <c r="E60" i="3"/>
  <c r="G60" i="3" s="1"/>
  <c r="E95" i="3"/>
  <c r="G95" i="3" s="1"/>
  <c r="E91" i="3"/>
  <c r="G91" i="3" s="1"/>
  <c r="E87" i="3"/>
  <c r="G87" i="3" s="1"/>
  <c r="E83" i="3"/>
  <c r="G83" i="3" s="1"/>
  <c r="E79" i="3"/>
  <c r="G79" i="3" s="1"/>
  <c r="E75" i="3"/>
  <c r="G75" i="3" s="1"/>
  <c r="E71" i="3"/>
  <c r="G71" i="3" s="1"/>
  <c r="E93" i="3"/>
  <c r="G93" i="3" s="1"/>
  <c r="E77" i="3"/>
  <c r="G77" i="3" s="1"/>
  <c r="E81" i="3"/>
  <c r="G81" i="3" s="1"/>
  <c r="E63" i="3"/>
  <c r="G63" i="3" s="1"/>
  <c r="E85" i="3"/>
  <c r="G85" i="3" s="1"/>
  <c r="E69" i="3"/>
  <c r="G69" i="3" s="1"/>
  <c r="E56" i="3"/>
  <c r="G56" i="3" s="1"/>
  <c r="E89" i="3"/>
  <c r="G89" i="3" s="1"/>
  <c r="E73" i="3"/>
  <c r="G73" i="3" s="1"/>
  <c r="E59" i="3"/>
  <c r="G59" i="3" s="1"/>
  <c r="E58" i="3"/>
  <c r="G58" i="3" s="1"/>
  <c r="E57" i="3"/>
  <c r="G57" i="3" s="1"/>
  <c r="E96" i="3" l="1"/>
  <c r="G55" i="3"/>
  <c r="G96" i="3" s="1"/>
  <c r="G100" i="3" l="1"/>
</calcChain>
</file>

<file path=xl/comments1.xml><?xml version="1.0" encoding="utf-8"?>
<comments xmlns="http://schemas.openxmlformats.org/spreadsheetml/2006/main">
  <authors>
    <author>Autor</author>
  </authors>
  <commentList>
    <comment ref="B106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bez CSS a PS Vracov, Bzenec, S-M
</t>
        </r>
      </text>
    </comment>
  </commentList>
</comments>
</file>

<file path=xl/sharedStrings.xml><?xml version="1.0" encoding="utf-8"?>
<sst xmlns="http://schemas.openxmlformats.org/spreadsheetml/2006/main" count="221" uniqueCount="163">
  <si>
    <t>Poskytovatel</t>
  </si>
  <si>
    <t>Poskytovaná služba</t>
  </si>
  <si>
    <t>Úvazky</t>
  </si>
  <si>
    <t>% spoluúčast dle požadavku JMK</t>
  </si>
  <si>
    <t>garance částky dle % požadavku JMK</t>
  </si>
  <si>
    <t>% spoluúčast ORP Kyjov</t>
  </si>
  <si>
    <t>ORP Kyjov</t>
  </si>
  <si>
    <t>% spoluúčast ORP Hodonín</t>
  </si>
  <si>
    <t>ORP Hodonín</t>
  </si>
  <si>
    <t>% spoluúčast ORP V. n. Mor.</t>
  </si>
  <si>
    <t>ORP V. n. Mor.</t>
  </si>
  <si>
    <t>Centrum pro rodinu a sociální péči Hodonín</t>
  </si>
  <si>
    <t>Denní stacionář - Vlaštovka</t>
  </si>
  <si>
    <t>Osobní asistence</t>
  </si>
  <si>
    <t>Sociální rehabilitace</t>
  </si>
  <si>
    <t>Centrum pro sluchově postižené Hodonínsko, o.p.s.</t>
  </si>
  <si>
    <t>Tlumočnické služby</t>
  </si>
  <si>
    <t>Centrum sociálních služeb, p.o. města Kyjova</t>
  </si>
  <si>
    <t>Azylové domy - rodiny s dětmi</t>
  </si>
  <si>
    <t>Denní stacionář</t>
  </si>
  <si>
    <t>Pečovatelská služba</t>
  </si>
  <si>
    <t>Diecézní charita Brno</t>
  </si>
  <si>
    <t>Nízkoprahové denní centrum</t>
  </si>
  <si>
    <t>Noclehárna Hodonín</t>
  </si>
  <si>
    <t>Pečovatelská služba Šardice</t>
  </si>
  <si>
    <t>Pečovatelská služba Ždánice</t>
  </si>
  <si>
    <t>DOTYK II, o.p.s.</t>
  </si>
  <si>
    <t>Raná péče</t>
  </si>
  <si>
    <t>Charita Kyjov</t>
  </si>
  <si>
    <t>Kontaktní centrum</t>
  </si>
  <si>
    <t>Odborné sociální poradenství</t>
  </si>
  <si>
    <t>Nízkoprahový klub Bárka</t>
  </si>
  <si>
    <t>Charitní pečovatelská služba Kyjov</t>
  </si>
  <si>
    <t>Pečovatelská služba Sv.-Mistřín</t>
  </si>
  <si>
    <t>Město Bzenec</t>
  </si>
  <si>
    <t>Pečovatelská služba Bzenec</t>
  </si>
  <si>
    <t>Město Vracov</t>
  </si>
  <si>
    <t>Pečovatelská služba Vracov</t>
  </si>
  <si>
    <t>Sociálně-psychiatrické centrum - Fénix, o.p.s.</t>
  </si>
  <si>
    <t>Slezská diakonie</t>
  </si>
  <si>
    <t>Raná péče - Dorea</t>
  </si>
  <si>
    <t>Charita Strážnice</t>
  </si>
  <si>
    <t>Sociálně terapeutické dílny, Kotva</t>
  </si>
  <si>
    <r>
      <t>Celkové náklady na provoz "sítě" pro ORP Kyjov</t>
    </r>
    <r>
      <rPr>
        <sz val="12"/>
        <color theme="1"/>
        <rFont val="Calibri"/>
        <family val="2"/>
        <charset val="238"/>
      </rPr>
      <t>*</t>
    </r>
  </si>
  <si>
    <t>Celkové náklady bez CSS Kyjov, p.o. města Kyjova</t>
  </si>
  <si>
    <t>Z toho:</t>
  </si>
  <si>
    <r>
      <t>"Společný sociální fond"</t>
    </r>
    <r>
      <rPr>
        <sz val="12"/>
        <color theme="1"/>
        <rFont val="Calibri"/>
        <family val="2"/>
        <charset val="238"/>
      </rPr>
      <t>**</t>
    </r>
  </si>
  <si>
    <t xml:space="preserve">Z toho: </t>
  </si>
  <si>
    <t>3/5 město Kyjov</t>
  </si>
  <si>
    <t>Rozdělení působnosti PS:</t>
  </si>
  <si>
    <t>2/5 spádové obce</t>
  </si>
  <si>
    <t>Služba</t>
  </si>
  <si>
    <t>Působnost</t>
  </si>
  <si>
    <t>PS + OA CSS Kyjov</t>
  </si>
  <si>
    <t>Kyjov</t>
  </si>
  <si>
    <r>
      <t>"Pečovatelské služby"</t>
    </r>
    <r>
      <rPr>
        <sz val="12"/>
        <color theme="1"/>
        <rFont val="Calibri"/>
        <family val="2"/>
        <charset val="238"/>
      </rPr>
      <t>***</t>
    </r>
  </si>
  <si>
    <t>PS Bzenec</t>
  </si>
  <si>
    <t>Bzenec</t>
  </si>
  <si>
    <t>PS Svat.-Mistřín</t>
  </si>
  <si>
    <t>Svatobořice-Mistřín</t>
  </si>
  <si>
    <t>PS Vracov</t>
  </si>
  <si>
    <t>Vracov</t>
  </si>
  <si>
    <t>PS Charita Kyjov</t>
  </si>
  <si>
    <t>Bukovany, Čeložnice, Domanín, Hýsly, Ježov, Kelčany, Kostelec, Kyjov, Labuty, Milotice, Moravany, Skalka, Skoronice, Sobůlky, Syrovín, Těmice, Vacenovice, Vlkoš, Vřesovice, Žádovice, Žeravice</t>
  </si>
  <si>
    <t>SLUŽBY ODBORNÉHO SOCIÁLNÍHO PORADENTVÍ</t>
  </si>
  <si>
    <t>SLUŽBY SOCIÁLNÍ PÉČE</t>
  </si>
  <si>
    <t>z toho PS</t>
  </si>
  <si>
    <t>SLUŽBY SOCIÁLNÍ PREVENCE</t>
  </si>
  <si>
    <t>PS Šardice</t>
  </si>
  <si>
    <t>Hovorany, Stavěšice, Strážovice, Šardice</t>
  </si>
  <si>
    <t xml:space="preserve">* jde o povinné procentní spoluúčasti z maximálních optimalizovaných nákladů sociálních služeb působících na Kyjovsku, které byly vypočítány na základě metodiky Jihomoravského kraje </t>
  </si>
  <si>
    <t>PS Ždánice</t>
  </si>
  <si>
    <t>Archlebov, Dambořice, Dražůvky, Lovčice, Mouchnice, Násedlovice, Nechvalín, Nenkovice, Ostrovánky, Uhřice, Věteřov, Žarošice, Ždánice, Želetice</t>
  </si>
  <si>
    <t>** součet procentních spoluúčastí na provoz sociálních služeb působících v celém regionu Kyjovska (město Kyjov z toho hradí 3/5 a spádové obce 2/5) - jedná se o služby sociálního poradenství, péče i prevence</t>
  </si>
  <si>
    <t xml:space="preserve">*** součet procentních spoluúčastí na provoz lokálně působících služeb (pečovatelské služby + osobní asistence Centra sociálních služeb Kyjov, p.o. města Kyjova) </t>
  </si>
  <si>
    <t>obec</t>
  </si>
  <si>
    <t>počet obyvatel</t>
  </si>
  <si>
    <t>příspěvek do spol. soc. fondu</t>
  </si>
  <si>
    <t>příspěvek na PS</t>
  </si>
  <si>
    <t>Příspěvek zřizovatele pro CSS, p.o. (PS+OA)</t>
  </si>
  <si>
    <t>Archlebov</t>
  </si>
  <si>
    <t>Příspěvek zřizovatele pro DPS Vracov</t>
  </si>
  <si>
    <t>Bukovany</t>
  </si>
  <si>
    <t>Příspěvek zřizovatele pro DPS Bzenec</t>
  </si>
  <si>
    <t>Příspěvek pro PS Ždánice</t>
  </si>
  <si>
    <t>Z toho: 60% město Ždánice</t>
  </si>
  <si>
    <t>Čeložnice</t>
  </si>
  <si>
    <t>Příspěvek pro PS Svat.-Mistřín</t>
  </si>
  <si>
    <t>40% spádové obce</t>
  </si>
  <si>
    <t>Dambořice</t>
  </si>
  <si>
    <t>Příspěvek pro PS Charity Kyjov</t>
  </si>
  <si>
    <t>Z toho:3/5 město Kyjov</t>
  </si>
  <si>
    <t>Domanín</t>
  </si>
  <si>
    <t>Příspěvek pro PS Šardice</t>
  </si>
  <si>
    <t>Dražůvky</t>
  </si>
  <si>
    <t>Hovorany</t>
  </si>
  <si>
    <t>Počet obyvatel obcí užívající PS Ždánice</t>
  </si>
  <si>
    <t>Bez Ždánic</t>
  </si>
  <si>
    <t>Hýsly</t>
  </si>
  <si>
    <t>Počet obyvatel obcí užívající PS Charity Kyjov</t>
  </si>
  <si>
    <t xml:space="preserve">Bez ORP </t>
  </si>
  <si>
    <t>Ježov</t>
  </si>
  <si>
    <t>Počet obyvatel obcí užívající PS Šardice</t>
  </si>
  <si>
    <t>Kelčany</t>
  </si>
  <si>
    <t>Počet obyvatel obcí užívající PS Bzenec</t>
  </si>
  <si>
    <t>Kostelec</t>
  </si>
  <si>
    <t>Počet obyvatel obcí užívající PS Sv.-Mistřín</t>
  </si>
  <si>
    <t>Labuty</t>
  </si>
  <si>
    <t>Počet obyvatel obcí užívající PS Vracov</t>
  </si>
  <si>
    <t>Lovčice</t>
  </si>
  <si>
    <t>Milotice</t>
  </si>
  <si>
    <t>Moravany</t>
  </si>
  <si>
    <t>Mouchnice</t>
  </si>
  <si>
    <t>Násedlovice</t>
  </si>
  <si>
    <t>Nechvalín</t>
  </si>
  <si>
    <t>Nenkovice</t>
  </si>
  <si>
    <t>Ostrovánky</t>
  </si>
  <si>
    <t>Skalka</t>
  </si>
  <si>
    <t>Skoronice</t>
  </si>
  <si>
    <t>Sobůlky</t>
  </si>
  <si>
    <t>Stavěšice</t>
  </si>
  <si>
    <t>Strážovice</t>
  </si>
  <si>
    <t>Syrovín</t>
  </si>
  <si>
    <t>Šardice</t>
  </si>
  <si>
    <t>Těmice</t>
  </si>
  <si>
    <t>Uhřice</t>
  </si>
  <si>
    <t>Vacenovice</t>
  </si>
  <si>
    <t>Věteřov</t>
  </si>
  <si>
    <t>Vlkoš</t>
  </si>
  <si>
    <t>Vřesovice</t>
  </si>
  <si>
    <t>Žádovice</t>
  </si>
  <si>
    <t>Žarošice</t>
  </si>
  <si>
    <t>Ždánice</t>
  </si>
  <si>
    <t>Želetice</t>
  </si>
  <si>
    <t>Žeravice</t>
  </si>
  <si>
    <t>Celkem spádové obce</t>
  </si>
  <si>
    <t>celkem bez ORP</t>
  </si>
  <si>
    <t>Celkem</t>
  </si>
  <si>
    <t>Celkové náklady minimální sítě</t>
  </si>
  <si>
    <t>→</t>
  </si>
  <si>
    <t>(včetně PS Vracov, Bzenec, S-M a CSS)</t>
  </si>
  <si>
    <t>Příspěvek od obcí</t>
  </si>
  <si>
    <t>Minimální síť (dotační řízení Kyjov)</t>
  </si>
  <si>
    <t xml:space="preserve">CSS (OA, PS, DS,AD) příspěvek </t>
  </si>
  <si>
    <t>Krok Kyjov, z.ú.</t>
  </si>
  <si>
    <t>min.síť</t>
  </si>
  <si>
    <t>css</t>
  </si>
  <si>
    <t>Sociálně aktivizační služby pro rodiny s dětmi</t>
  </si>
  <si>
    <t xml:space="preserve">Společnost pro ranou péči, pobočka Brno </t>
  </si>
  <si>
    <t>bez PS</t>
  </si>
  <si>
    <t>ORP Kyjov - zaokrouhleno</t>
  </si>
  <si>
    <t>Příspěvek zaokrouhlený na 100, příspěvek do sítě (bez PS Bzenec, S-M, Vracov)</t>
  </si>
  <si>
    <t>příspěvek CELKEM</t>
  </si>
  <si>
    <t>6 klientů</t>
  </si>
  <si>
    <t>8 klientů</t>
  </si>
  <si>
    <t>4 klienti</t>
  </si>
  <si>
    <t>Financování "Minimální sítě sociálních služeb na Kyjovsku pro r. 2024"</t>
  </si>
  <si>
    <t>rozpočet na 2024 (navýšení o 10%)</t>
  </si>
  <si>
    <t>rozdíl od roku 2023</t>
  </si>
  <si>
    <t>rozdíl 2023 a 2024</t>
  </si>
  <si>
    <t>Schválená Minimální síť sociálních služeb Kyjovsko pro rok 2024</t>
  </si>
  <si>
    <t>Spoluúčast obcí na sociální fond v roce 2024</t>
  </si>
  <si>
    <t>ZM_XIV_14_Příloha č. 1 - Finanční náklady Minimální sítě sociálních služeb pro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</si>
</sst>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_-* #,##0\ [$Kč-405]_-;\-* #,##0\ [$Kč-405]_-;_-* &quot;-&quot;\ [$Kč-405]_-;_-@_-"/>
    <numFmt numFmtId="166" formatCode="_-* #,##0.00\ [$Kč-405]_-;\-* #,##0.00\ [$Kč-405]_-;_-* &quot;-&quot;\ [$Kč-405]_-;_-@_-"/>
    <numFmt numFmtId="167" formatCode="_-* #,##0.00\ [$Kč-405]_-;\-* #,##0.00\ [$Kč-405]_-;_-* &quot;-&quot;??\ [$Kč-405]_-;_-@_-"/>
    <numFmt numFmtId="168" formatCode="_-* #,##0\ &quot;Kč&quot;_-;\-* #,##0\ &quot;Kč&quot;_-;_-* &quot;-&quot;??\ &quot;Kč&quot;_-;_-@_-"/>
    <numFmt numFmtId="169" formatCode="#,##0\ &quot;Kč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5">
    <xf numFmtId="0" fontId="0" fillId="0" borderId="0" xfId="0"/>
    <xf numFmtId="2" fontId="0" fillId="2" borderId="13" xfId="0" applyNumberFormat="1" applyFill="1" applyBorder="1"/>
    <xf numFmtId="164" fontId="0" fillId="2" borderId="13" xfId="0" applyNumberFormat="1" applyFill="1" applyBorder="1"/>
    <xf numFmtId="10" fontId="5" fillId="2" borderId="13" xfId="0" applyNumberFormat="1" applyFont="1" applyFill="1" applyBorder="1"/>
    <xf numFmtId="0" fontId="0" fillId="2" borderId="17" xfId="0" applyFill="1" applyBorder="1"/>
    <xf numFmtId="164" fontId="0" fillId="2" borderId="17" xfId="0" applyNumberFormat="1" applyFill="1" applyBorder="1"/>
    <xf numFmtId="10" fontId="5" fillId="2" borderId="17" xfId="0" applyNumberFormat="1" applyFont="1" applyFill="1" applyBorder="1"/>
    <xf numFmtId="164" fontId="0" fillId="2" borderId="18" xfId="0" applyNumberFormat="1" applyFill="1" applyBorder="1"/>
    <xf numFmtId="164" fontId="0" fillId="2" borderId="20" xfId="0" applyNumberFormat="1" applyFill="1" applyBorder="1"/>
    <xf numFmtId="164" fontId="5" fillId="2" borderId="21" xfId="0" applyNumberFormat="1" applyFont="1" applyFill="1" applyBorder="1"/>
    <xf numFmtId="164" fontId="0" fillId="2" borderId="21" xfId="0" applyNumberFormat="1" applyFill="1" applyBorder="1"/>
    <xf numFmtId="164" fontId="0" fillId="2" borderId="23" xfId="0" applyNumberFormat="1" applyFill="1" applyBorder="1"/>
    <xf numFmtId="164" fontId="0" fillId="0" borderId="0" xfId="0" applyNumberFormat="1"/>
    <xf numFmtId="2" fontId="0" fillId="3" borderId="17" xfId="0" applyNumberFormat="1" applyFill="1" applyBorder="1"/>
    <xf numFmtId="164" fontId="0" fillId="3" borderId="17" xfId="0" applyNumberFormat="1" applyFill="1" applyBorder="1"/>
    <xf numFmtId="10" fontId="5" fillId="3" borderId="17" xfId="0" applyNumberFormat="1" applyFont="1" applyFill="1" applyBorder="1"/>
    <xf numFmtId="164" fontId="5" fillId="3" borderId="17" xfId="0" applyNumberFormat="1" applyFont="1" applyFill="1" applyBorder="1"/>
    <xf numFmtId="10" fontId="0" fillId="3" borderId="17" xfId="0" applyNumberFormat="1" applyFill="1" applyBorder="1"/>
    <xf numFmtId="164" fontId="0" fillId="3" borderId="18" xfId="0" applyNumberFormat="1" applyFill="1" applyBorder="1"/>
    <xf numFmtId="2" fontId="0" fillId="3" borderId="20" xfId="0" applyNumberFormat="1" applyFill="1" applyBorder="1"/>
    <xf numFmtId="164" fontId="0" fillId="3" borderId="20" xfId="0" applyNumberFormat="1" applyFill="1" applyBorder="1"/>
    <xf numFmtId="10" fontId="5" fillId="3" borderId="20" xfId="0" applyNumberFormat="1" applyFont="1" applyFill="1" applyBorder="1"/>
    <xf numFmtId="164" fontId="5" fillId="3" borderId="24" xfId="0" applyNumberFormat="1" applyFont="1" applyFill="1" applyBorder="1"/>
    <xf numFmtId="10" fontId="0" fillId="3" borderId="20" xfId="0" applyNumberFormat="1" applyFill="1" applyBorder="1"/>
    <xf numFmtId="164" fontId="0" fillId="3" borderId="24" xfId="0" applyNumberFormat="1" applyFill="1" applyBorder="1"/>
    <xf numFmtId="10" fontId="0" fillId="3" borderId="22" xfId="0" applyNumberFormat="1" applyFill="1" applyBorder="1"/>
    <xf numFmtId="164" fontId="0" fillId="3" borderId="23" xfId="0" applyNumberFormat="1" applyFill="1" applyBorder="1"/>
    <xf numFmtId="2" fontId="0" fillId="2" borderId="17" xfId="0" applyNumberFormat="1" applyFont="1" applyFill="1" applyBorder="1"/>
    <xf numFmtId="164" fontId="5" fillId="2" borderId="13" xfId="0" applyNumberFormat="1" applyFont="1" applyFill="1" applyBorder="1"/>
    <xf numFmtId="0" fontId="0" fillId="2" borderId="13" xfId="0" applyFill="1" applyBorder="1"/>
    <xf numFmtId="0" fontId="0" fillId="2" borderId="25" xfId="0" applyFill="1" applyBorder="1"/>
    <xf numFmtId="0" fontId="0" fillId="2" borderId="26" xfId="0" applyFont="1" applyFill="1" applyBorder="1" applyAlignment="1"/>
    <xf numFmtId="0" fontId="0" fillId="2" borderId="21" xfId="0" applyFill="1" applyBorder="1"/>
    <xf numFmtId="164" fontId="0" fillId="2" borderId="24" xfId="0" applyNumberFormat="1" applyFill="1" applyBorder="1"/>
    <xf numFmtId="0" fontId="0" fillId="2" borderId="27" xfId="0" applyFill="1" applyBorder="1"/>
    <xf numFmtId="164" fontId="0" fillId="2" borderId="28" xfId="0" applyNumberFormat="1" applyFill="1" applyBorder="1"/>
    <xf numFmtId="164" fontId="5" fillId="2" borderId="24" xfId="0" applyNumberFormat="1" applyFont="1" applyFill="1" applyBorder="1"/>
    <xf numFmtId="164" fontId="5" fillId="2" borderId="27" xfId="0" applyNumberFormat="1" applyFont="1" applyFill="1" applyBorder="1"/>
    <xf numFmtId="2" fontId="0" fillId="3" borderId="13" xfId="0" applyNumberFormat="1" applyFill="1" applyBorder="1"/>
    <xf numFmtId="164" fontId="0" fillId="3" borderId="13" xfId="0" applyNumberFormat="1" applyFill="1" applyBorder="1"/>
    <xf numFmtId="10" fontId="5" fillId="3" borderId="14" xfId="0" applyNumberFormat="1" applyFont="1" applyFill="1" applyBorder="1"/>
    <xf numFmtId="164" fontId="5" fillId="3" borderId="14" xfId="0" applyNumberFormat="1" applyFont="1" applyFill="1" applyBorder="1"/>
    <xf numFmtId="10" fontId="0" fillId="3" borderId="14" xfId="0" applyNumberFormat="1" applyFill="1" applyBorder="1"/>
    <xf numFmtId="164" fontId="0" fillId="3" borderId="14" xfId="0" applyNumberFormat="1" applyFill="1" applyBorder="1"/>
    <xf numFmtId="164" fontId="0" fillId="3" borderId="28" xfId="0" applyNumberFormat="1" applyFill="1" applyBorder="1"/>
    <xf numFmtId="0" fontId="0" fillId="3" borderId="17" xfId="0" applyFill="1" applyBorder="1"/>
    <xf numFmtId="0" fontId="0" fillId="3" borderId="20" xfId="0" applyFill="1" applyBorder="1"/>
    <xf numFmtId="164" fontId="0" fillId="3" borderId="21" xfId="0" applyNumberFormat="1" applyFill="1" applyBorder="1"/>
    <xf numFmtId="164" fontId="0" fillId="2" borderId="38" xfId="0" applyNumberFormat="1" applyFill="1" applyBorder="1"/>
    <xf numFmtId="164" fontId="5" fillId="2" borderId="38" xfId="0" applyNumberFormat="1" applyFont="1" applyFill="1" applyBorder="1"/>
    <xf numFmtId="0" fontId="0" fillId="2" borderId="38" xfId="0" applyFill="1" applyBorder="1" applyAlignment="1">
      <alignment horizontal="right"/>
    </xf>
    <xf numFmtId="164" fontId="0" fillId="2" borderId="40" xfId="0" applyNumberFormat="1" applyFill="1" applyBorder="1"/>
    <xf numFmtId="10" fontId="5" fillId="3" borderId="13" xfId="0" applyNumberFormat="1" applyFont="1" applyFill="1" applyBorder="1"/>
    <xf numFmtId="0" fontId="0" fillId="3" borderId="13" xfId="0" applyFill="1" applyBorder="1"/>
    <xf numFmtId="0" fontId="0" fillId="3" borderId="24" xfId="0" applyFill="1" applyBorder="1"/>
    <xf numFmtId="164" fontId="0" fillId="3" borderId="15" xfId="0" applyNumberFormat="1" applyFill="1" applyBorder="1"/>
    <xf numFmtId="164" fontId="5" fillId="3" borderId="27" xfId="0" applyNumberFormat="1" applyFont="1" applyFill="1" applyBorder="1"/>
    <xf numFmtId="2" fontId="0" fillId="2" borderId="38" xfId="0" applyNumberFormat="1" applyFill="1" applyBorder="1"/>
    <xf numFmtId="10" fontId="5" fillId="2" borderId="38" xfId="0" applyNumberFormat="1" applyFont="1" applyFill="1" applyBorder="1"/>
    <xf numFmtId="0" fontId="0" fillId="2" borderId="38" xfId="0" applyFill="1" applyBorder="1"/>
    <xf numFmtId="10" fontId="0" fillId="2" borderId="38" xfId="0" applyNumberFormat="1" applyFill="1" applyBorder="1"/>
    <xf numFmtId="164" fontId="5" fillId="3" borderId="21" xfId="0" applyNumberFormat="1" applyFont="1" applyFill="1" applyBorder="1"/>
    <xf numFmtId="2" fontId="0" fillId="3" borderId="38" xfId="0" applyNumberFormat="1" applyFill="1" applyBorder="1"/>
    <xf numFmtId="164" fontId="0" fillId="3" borderId="38" xfId="0" applyNumberFormat="1" applyFill="1" applyBorder="1"/>
    <xf numFmtId="164" fontId="5" fillId="3" borderId="38" xfId="0" applyNumberFormat="1" applyFont="1" applyFill="1" applyBorder="1"/>
    <xf numFmtId="0" fontId="0" fillId="3" borderId="38" xfId="0" applyFill="1" applyBorder="1"/>
    <xf numFmtId="164" fontId="0" fillId="3" borderId="40" xfId="0" applyNumberFormat="1" applyFill="1" applyBorder="1"/>
    <xf numFmtId="164" fontId="0" fillId="2" borderId="46" xfId="0" applyNumberFormat="1" applyFill="1" applyBorder="1"/>
    <xf numFmtId="10" fontId="5" fillId="3" borderId="38" xfId="0" applyNumberFormat="1" applyFont="1" applyFill="1" applyBorder="1"/>
    <xf numFmtId="10" fontId="0" fillId="3" borderId="38" xfId="0" applyNumberFormat="1" applyFill="1" applyBorder="1"/>
    <xf numFmtId="16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64" fontId="2" fillId="0" borderId="0" xfId="0" applyNumberFormat="1" applyFont="1" applyAlignment="1"/>
    <xf numFmtId="0" fontId="8" fillId="0" borderId="0" xfId="0" applyFont="1" applyAlignment="1">
      <alignment vertical="top"/>
    </xf>
    <xf numFmtId="164" fontId="10" fillId="0" borderId="0" xfId="0" applyNumberFormat="1" applyFont="1" applyFill="1" applyAlignment="1">
      <alignment horizontal="right" vertical="top"/>
    </xf>
    <xf numFmtId="164" fontId="2" fillId="2" borderId="44" xfId="0" applyNumberFormat="1" applyFont="1" applyFill="1" applyBorder="1"/>
    <xf numFmtId="164" fontId="10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166" fontId="10" fillId="0" borderId="0" xfId="0" applyNumberFormat="1" applyFont="1" applyFill="1" applyAlignment="1">
      <alignment horizontal="right" vertical="top"/>
    </xf>
    <xf numFmtId="166" fontId="0" fillId="0" borderId="0" xfId="0" applyNumberFormat="1" applyFont="1" applyFill="1" applyAlignment="1">
      <alignment vertical="top"/>
    </xf>
    <xf numFmtId="167" fontId="0" fillId="0" borderId="0" xfId="0" applyNumberFormat="1"/>
    <xf numFmtId="165" fontId="10" fillId="0" borderId="0" xfId="0" applyNumberFormat="1" applyFont="1" applyFill="1" applyAlignment="1">
      <alignment vertical="top"/>
    </xf>
    <xf numFmtId="0" fontId="0" fillId="0" borderId="47" xfId="0" applyBorder="1"/>
    <xf numFmtId="0" fontId="0" fillId="0" borderId="24" xfId="0" applyBorder="1"/>
    <xf numFmtId="0" fontId="0" fillId="4" borderId="17" xfId="0" applyFill="1" applyBorder="1"/>
    <xf numFmtId="0" fontId="0" fillId="5" borderId="17" xfId="0" applyFill="1" applyBorder="1"/>
    <xf numFmtId="0" fontId="0" fillId="6" borderId="17" xfId="0" applyFill="1" applyBorder="1"/>
    <xf numFmtId="168" fontId="0" fillId="0" borderId="0" xfId="0" applyNumberFormat="1"/>
    <xf numFmtId="168" fontId="0" fillId="0" borderId="0" xfId="0" applyNumberFormat="1" applyAlignment="1">
      <alignment vertical="top"/>
    </xf>
    <xf numFmtId="169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164" fontId="0" fillId="0" borderId="0" xfId="0" applyNumberFormat="1" applyFont="1" applyAlignment="1">
      <alignment horizontal="left" vertical="center"/>
    </xf>
    <xf numFmtId="44" fontId="0" fillId="0" borderId="0" xfId="0" applyNumberFormat="1"/>
    <xf numFmtId="44" fontId="0" fillId="0" borderId="0" xfId="0" applyNumberForma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166" fontId="0" fillId="0" borderId="17" xfId="0" applyNumberFormat="1" applyFont="1" applyFill="1" applyBorder="1" applyAlignment="1">
      <alignment vertical="center"/>
    </xf>
    <xf numFmtId="0" fontId="0" fillId="10" borderId="36" xfId="0" applyFill="1" applyBorder="1"/>
    <xf numFmtId="164" fontId="0" fillId="0" borderId="36" xfId="0" applyNumberFormat="1" applyBorder="1"/>
    <xf numFmtId="164" fontId="0" fillId="9" borderId="36" xfId="0" applyNumberFormat="1" applyFill="1" applyBorder="1"/>
    <xf numFmtId="0" fontId="12" fillId="6" borderId="17" xfId="0" applyFont="1" applyFill="1" applyBorder="1" applyAlignment="1">
      <alignment horizontal="left" vertical="top"/>
    </xf>
    <xf numFmtId="164" fontId="12" fillId="6" borderId="17" xfId="0" applyNumberFormat="1" applyFont="1" applyFill="1" applyBorder="1" applyAlignment="1">
      <alignment horizontal="right" vertical="top"/>
    </xf>
    <xf numFmtId="0" fontId="0" fillId="10" borderId="0" xfId="0" applyFill="1" applyBorder="1"/>
    <xf numFmtId="164" fontId="0" fillId="0" borderId="0" xfId="0" applyNumberFormat="1" applyBorder="1"/>
    <xf numFmtId="164" fontId="0" fillId="7" borderId="0" xfId="0" applyNumberFormat="1" applyFill="1" applyBorder="1"/>
    <xf numFmtId="0" fontId="0" fillId="4" borderId="17" xfId="0" applyFill="1" applyBorder="1" applyAlignment="1">
      <alignment horizontal="left" vertical="top"/>
    </xf>
    <xf numFmtId="166" fontId="0" fillId="4" borderId="17" xfId="0" applyNumberFormat="1" applyFont="1" applyFill="1" applyBorder="1" applyAlignment="1">
      <alignment vertical="top"/>
    </xf>
    <xf numFmtId="164" fontId="0" fillId="4" borderId="36" xfId="0" applyNumberFormat="1" applyFill="1" applyBorder="1"/>
    <xf numFmtId="166" fontId="0" fillId="9" borderId="17" xfId="0" applyNumberFormat="1" applyFont="1" applyFill="1" applyBorder="1" applyAlignment="1">
      <alignment vertical="top"/>
    </xf>
    <xf numFmtId="0" fontId="0" fillId="0" borderId="48" xfId="0" applyBorder="1"/>
    <xf numFmtId="167" fontId="0" fillId="0" borderId="49" xfId="0" applyNumberFormat="1" applyBorder="1"/>
    <xf numFmtId="166" fontId="0" fillId="5" borderId="17" xfId="0" applyNumberFormat="1" applyFont="1" applyFill="1" applyBorder="1" applyAlignment="1">
      <alignment vertical="top"/>
    </xf>
    <xf numFmtId="0" fontId="0" fillId="0" borderId="42" xfId="0" applyBorder="1" applyAlignment="1">
      <alignment horizontal="right"/>
    </xf>
    <xf numFmtId="167" fontId="0" fillId="0" borderId="52" xfId="0" applyNumberFormat="1" applyBorder="1"/>
    <xf numFmtId="166" fontId="0" fillId="7" borderId="17" xfId="0" applyNumberFormat="1" applyFont="1" applyFill="1" applyBorder="1" applyAlignment="1">
      <alignment vertical="top"/>
    </xf>
    <xf numFmtId="164" fontId="0" fillId="0" borderId="49" xfId="0" applyNumberFormat="1" applyBorder="1"/>
    <xf numFmtId="166" fontId="0" fillId="8" borderId="17" xfId="0" applyNumberFormat="1" applyFont="1" applyFill="1" applyBorder="1" applyAlignment="1">
      <alignment vertical="top"/>
    </xf>
    <xf numFmtId="164" fontId="0" fillId="0" borderId="52" xfId="0" applyNumberFormat="1" applyBorder="1"/>
    <xf numFmtId="164" fontId="0" fillId="8" borderId="0" xfId="0" applyNumberFormat="1" applyFill="1" applyBorder="1"/>
    <xf numFmtId="0" fontId="0" fillId="9" borderId="17" xfId="0" applyFill="1" applyBorder="1" applyAlignment="1">
      <alignment horizontal="left"/>
    </xf>
    <xf numFmtId="0" fontId="0" fillId="9" borderId="17" xfId="0" applyFill="1" applyBorder="1"/>
    <xf numFmtId="0" fontId="0" fillId="0" borderId="17" xfId="0" applyFill="1" applyBorder="1" applyAlignment="1">
      <alignment horizontal="right"/>
    </xf>
    <xf numFmtId="0" fontId="0" fillId="0" borderId="17" xfId="0" applyBorder="1"/>
    <xf numFmtId="164" fontId="0" fillId="7" borderId="36" xfId="0" applyNumberFormat="1" applyFill="1" applyBorder="1"/>
    <xf numFmtId="0" fontId="0" fillId="7" borderId="17" xfId="0" applyFill="1" applyBorder="1" applyAlignment="1">
      <alignment horizontal="left"/>
    </xf>
    <xf numFmtId="0" fontId="0" fillId="7" borderId="17" xfId="0" applyFill="1" applyBorder="1"/>
    <xf numFmtId="0" fontId="0" fillId="0" borderId="17" xfId="0" applyBorder="1" applyAlignment="1">
      <alignment horizontal="right"/>
    </xf>
    <xf numFmtId="0" fontId="0" fillId="8" borderId="17" xfId="0" applyFill="1" applyBorder="1" applyAlignment="1">
      <alignment horizontal="left"/>
    </xf>
    <xf numFmtId="0" fontId="0" fillId="8" borderId="17" xfId="0" applyFill="1" applyBorder="1"/>
    <xf numFmtId="0" fontId="0" fillId="4" borderId="17" xfId="0" applyFill="1" applyBorder="1" applyAlignment="1">
      <alignment horizontal="left"/>
    </xf>
    <xf numFmtId="0" fontId="0" fillId="5" borderId="17" xfId="0" applyFill="1" applyBorder="1" applyAlignment="1">
      <alignment horizontal="left"/>
    </xf>
    <xf numFmtId="0" fontId="0" fillId="6" borderId="17" xfId="0" applyFill="1" applyBorder="1" applyAlignment="1">
      <alignment horizontal="left"/>
    </xf>
    <xf numFmtId="164" fontId="0" fillId="9" borderId="0" xfId="0" applyNumberFormat="1" applyFill="1" applyBorder="1"/>
    <xf numFmtId="0" fontId="0" fillId="0" borderId="0" xfId="0" applyFill="1"/>
    <xf numFmtId="164" fontId="0" fillId="8" borderId="36" xfId="0" applyNumberFormat="1" applyFill="1" applyBorder="1"/>
    <xf numFmtId="164" fontId="0" fillId="5" borderId="36" xfId="0" applyNumberFormat="1" applyFill="1" applyBorder="1"/>
    <xf numFmtId="164" fontId="0" fillId="6" borderId="36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Alignment="1">
      <alignment horizontal="left"/>
    </xf>
    <xf numFmtId="164" fontId="2" fillId="0" borderId="0" xfId="0" applyNumberFormat="1" applyFont="1" applyAlignment="1">
      <alignment horizontal="right"/>
    </xf>
    <xf numFmtId="164" fontId="0" fillId="7" borderId="30" xfId="0" applyNumberFormat="1" applyFill="1" applyBorder="1"/>
    <xf numFmtId="164" fontId="0" fillId="0" borderId="6" xfId="0" applyNumberFormat="1" applyBorder="1"/>
    <xf numFmtId="164" fontId="2" fillId="0" borderId="0" xfId="0" applyNumberFormat="1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left" wrapText="1"/>
    </xf>
    <xf numFmtId="164" fontId="0" fillId="0" borderId="17" xfId="0" applyNumberFormat="1" applyBorder="1" applyAlignment="1">
      <alignment horizontal="center"/>
    </xf>
    <xf numFmtId="164" fontId="0" fillId="0" borderId="17" xfId="0" applyNumberFormat="1" applyBorder="1"/>
    <xf numFmtId="0" fontId="0" fillId="0" borderId="55" xfId="0" applyBorder="1" applyAlignment="1">
      <alignment horizontal="center"/>
    </xf>
    <xf numFmtId="10" fontId="0" fillId="3" borderId="21" xfId="0" applyNumberFormat="1" applyFill="1" applyBorder="1"/>
    <xf numFmtId="10" fontId="0" fillId="3" borderId="13" xfId="0" applyNumberFormat="1" applyFill="1" applyBorder="1"/>
    <xf numFmtId="2" fontId="0" fillId="3" borderId="21" xfId="0" applyNumberFormat="1" applyFill="1" applyBorder="1"/>
    <xf numFmtId="10" fontId="5" fillId="3" borderId="21" xfId="0" applyNumberFormat="1" applyFont="1" applyFill="1" applyBorder="1"/>
    <xf numFmtId="164" fontId="0" fillId="3" borderId="56" xfId="0" applyNumberFormat="1" applyFill="1" applyBorder="1"/>
    <xf numFmtId="0" fontId="0" fillId="2" borderId="24" xfId="0" applyFill="1" applyBorder="1"/>
    <xf numFmtId="0" fontId="0" fillId="2" borderId="48" xfId="0" applyFill="1" applyBorder="1"/>
    <xf numFmtId="0" fontId="0" fillId="2" borderId="15" xfId="0" applyFont="1" applyFill="1" applyBorder="1" applyAlignment="1"/>
    <xf numFmtId="2" fontId="0" fillId="3" borderId="27" xfId="0" applyNumberFormat="1" applyFill="1" applyBorder="1"/>
    <xf numFmtId="164" fontId="0" fillId="3" borderId="27" xfId="0" applyNumberFormat="1" applyFill="1" applyBorder="1"/>
    <xf numFmtId="0" fontId="0" fillId="3" borderId="27" xfId="0" applyFill="1" applyBorder="1"/>
    <xf numFmtId="164" fontId="5" fillId="3" borderId="22" xfId="0" applyNumberFormat="1" applyFont="1" applyFill="1" applyBorder="1"/>
    <xf numFmtId="0" fontId="0" fillId="3" borderId="38" xfId="0" applyFill="1" applyBorder="1" applyAlignment="1">
      <alignment horizontal="right"/>
    </xf>
    <xf numFmtId="164" fontId="0" fillId="2" borderId="26" xfId="0" applyNumberFormat="1" applyFill="1" applyBorder="1"/>
    <xf numFmtId="10" fontId="0" fillId="2" borderId="17" xfId="0" applyNumberFormat="1" applyFont="1" applyFill="1" applyBorder="1"/>
    <xf numFmtId="10" fontId="0" fillId="2" borderId="21" xfId="0" applyNumberFormat="1" applyFill="1" applyBorder="1"/>
    <xf numFmtId="10" fontId="0" fillId="3" borderId="27" xfId="0" applyNumberFormat="1" applyFill="1" applyBorder="1"/>
    <xf numFmtId="10" fontId="5" fillId="2" borderId="21" xfId="0" applyNumberFormat="1" applyFont="1" applyFill="1" applyBorder="1"/>
    <xf numFmtId="10" fontId="5" fillId="3" borderId="27" xfId="0" applyNumberFormat="1" applyFont="1" applyFill="1" applyBorder="1"/>
    <xf numFmtId="0" fontId="0" fillId="0" borderId="0" xfId="0" applyBorder="1"/>
    <xf numFmtId="0" fontId="2" fillId="0" borderId="55" xfId="0" applyFont="1" applyFill="1" applyBorder="1" applyAlignment="1">
      <alignment horizontal="center" vertical="center" wrapText="1"/>
    </xf>
    <xf numFmtId="164" fontId="0" fillId="0" borderId="55" xfId="0" applyNumberFormat="1" applyBorder="1"/>
    <xf numFmtId="164" fontId="13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right" vertical="top"/>
    </xf>
    <xf numFmtId="164" fontId="10" fillId="0" borderId="4" xfId="0" applyNumberFormat="1" applyFont="1" applyFill="1" applyBorder="1" applyAlignment="1">
      <alignment horizontal="right" vertical="top"/>
    </xf>
    <xf numFmtId="0" fontId="0" fillId="0" borderId="11" xfId="0" applyBorder="1" applyAlignment="1">
      <alignment wrapText="1"/>
    </xf>
    <xf numFmtId="164" fontId="10" fillId="0" borderId="11" xfId="0" applyNumberFormat="1" applyFont="1" applyFill="1" applyBorder="1" applyAlignment="1">
      <alignment horizontal="right" vertical="top"/>
    </xf>
    <xf numFmtId="164" fontId="10" fillId="0" borderId="55" xfId="0" applyNumberFormat="1" applyFont="1" applyFill="1" applyBorder="1" applyAlignment="1">
      <alignment horizontal="right" vertical="top"/>
    </xf>
    <xf numFmtId="0" fontId="2" fillId="0" borderId="55" xfId="0" applyFont="1" applyBorder="1" applyAlignment="1">
      <alignment horizontal="center"/>
    </xf>
    <xf numFmtId="6" fontId="1" fillId="0" borderId="59" xfId="0" applyNumberFormat="1" applyFont="1" applyBorder="1" applyAlignment="1">
      <alignment horizontal="center" vertical="center" wrapText="1"/>
    </xf>
    <xf numFmtId="0" fontId="0" fillId="0" borderId="0" xfId="0" applyAlignment="1"/>
    <xf numFmtId="6" fontId="2" fillId="0" borderId="0" xfId="0" applyNumberFormat="1" applyFont="1"/>
    <xf numFmtId="6" fontId="0" fillId="0" borderId="60" xfId="0" applyNumberFormat="1" applyBorder="1" applyAlignment="1">
      <alignment horizontal="right"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64" fontId="10" fillId="0" borderId="2" xfId="0" applyNumberFormat="1" applyFont="1" applyFill="1" applyBorder="1" applyAlignment="1">
      <alignment horizontal="right" vertical="top"/>
    </xf>
    <xf numFmtId="164" fontId="13" fillId="0" borderId="6" xfId="0" applyNumberFormat="1" applyFont="1" applyBorder="1" applyAlignment="1">
      <alignment horizontal="center"/>
    </xf>
    <xf numFmtId="164" fontId="10" fillId="0" borderId="7" xfId="0" applyNumberFormat="1" applyFont="1" applyFill="1" applyBorder="1" applyAlignment="1">
      <alignment horizontal="right" vertical="top"/>
    </xf>
    <xf numFmtId="164" fontId="10" fillId="0" borderId="44" xfId="0" applyNumberFormat="1" applyFont="1" applyFill="1" applyBorder="1" applyAlignment="1">
      <alignment horizontal="right" vertical="top"/>
    </xf>
    <xf numFmtId="164" fontId="16" fillId="0" borderId="0" xfId="0" applyNumberFormat="1" applyFont="1"/>
    <xf numFmtId="0" fontId="2" fillId="0" borderId="0" xfId="0" applyFont="1"/>
    <xf numFmtId="164" fontId="0" fillId="0" borderId="55" xfId="0" applyNumberFormat="1" applyFill="1" applyBorder="1"/>
    <xf numFmtId="164" fontId="0" fillId="0" borderId="0" xfId="0" applyNumberFormat="1" applyAlignment="1">
      <alignment horizontal="left"/>
    </xf>
    <xf numFmtId="164" fontId="13" fillId="0" borderId="35" xfId="0" applyNumberFormat="1" applyFont="1" applyBorder="1" applyAlignment="1">
      <alignment horizontal="center"/>
    </xf>
    <xf numFmtId="0" fontId="0" fillId="0" borderId="36" xfId="0" applyBorder="1"/>
    <xf numFmtId="164" fontId="13" fillId="0" borderId="1" xfId="0" applyNumberFormat="1" applyFont="1" applyBorder="1" applyAlignment="1">
      <alignment horizontal="center"/>
    </xf>
    <xf numFmtId="0" fontId="0" fillId="0" borderId="2" xfId="0" applyFill="1" applyBorder="1"/>
    <xf numFmtId="2" fontId="0" fillId="2" borderId="22" xfId="0" applyNumberFormat="1" applyFill="1" applyBorder="1"/>
    <xf numFmtId="10" fontId="0" fillId="2" borderId="24" xfId="0" applyNumberFormat="1" applyFill="1" applyBorder="1"/>
    <xf numFmtId="10" fontId="5" fillId="2" borderId="24" xfId="0" applyNumberFormat="1" applyFont="1" applyFill="1" applyBorder="1"/>
    <xf numFmtId="2" fontId="0" fillId="2" borderId="39" xfId="0" applyNumberFormat="1" applyFill="1" applyBorder="1"/>
    <xf numFmtId="10" fontId="5" fillId="2" borderId="38" xfId="0" applyNumberFormat="1" applyFont="1" applyFill="1" applyBorder="1" applyAlignment="1">
      <alignment horizontal="right"/>
    </xf>
    <xf numFmtId="10" fontId="5" fillId="3" borderId="38" xfId="0" applyNumberFormat="1" applyFont="1" applyFill="1" applyBorder="1" applyAlignment="1">
      <alignment horizontal="right"/>
    </xf>
    <xf numFmtId="6" fontId="1" fillId="0" borderId="6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2" fillId="7" borderId="1" xfId="0" applyFont="1" applyFill="1" applyBorder="1" applyAlignment="1">
      <alignment horizontal="left" vertical="top"/>
    </xf>
    <xf numFmtId="0" fontId="2" fillId="7" borderId="2" xfId="0" applyFont="1" applyFill="1" applyBorder="1" applyAlignment="1">
      <alignment horizontal="left" vertical="top"/>
    </xf>
    <xf numFmtId="0" fontId="2" fillId="7" borderId="3" xfId="0" applyFont="1" applyFill="1" applyBorder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right" vertical="center"/>
    </xf>
    <xf numFmtId="0" fontId="2" fillId="10" borderId="6" xfId="0" applyFont="1" applyFill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7" fontId="0" fillId="0" borderId="8" xfId="0" applyNumberForma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9" borderId="35" xfId="0" applyFont="1" applyFill="1" applyBorder="1" applyAlignment="1">
      <alignment horizontal="center"/>
    </xf>
    <xf numFmtId="0" fontId="11" fillId="9" borderId="36" xfId="0" applyFont="1" applyFill="1" applyBorder="1" applyAlignment="1">
      <alignment horizontal="center"/>
    </xf>
    <xf numFmtId="0" fontId="11" fillId="9" borderId="0" xfId="0" applyFont="1" applyFill="1" applyBorder="1" applyAlignment="1">
      <alignment horizontal="center"/>
    </xf>
    <xf numFmtId="0" fontId="11" fillId="7" borderId="35" xfId="0" applyFont="1" applyFill="1" applyBorder="1" applyAlignment="1">
      <alignment horizontal="center"/>
    </xf>
    <xf numFmtId="0" fontId="11" fillId="7" borderId="36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/>
    </xf>
    <xf numFmtId="0" fontId="11" fillId="6" borderId="35" xfId="0" applyFont="1" applyFill="1" applyBorder="1" applyAlignment="1">
      <alignment horizontal="center"/>
    </xf>
    <xf numFmtId="0" fontId="11" fillId="6" borderId="36" xfId="0" applyFont="1" applyFill="1" applyBorder="1" applyAlignment="1">
      <alignment horizontal="center"/>
    </xf>
    <xf numFmtId="0" fontId="11" fillId="7" borderId="35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  <xf numFmtId="0" fontId="11" fillId="8" borderId="35" xfId="0" applyFont="1" applyFill="1" applyBorder="1" applyAlignment="1">
      <alignment horizontal="center"/>
    </xf>
    <xf numFmtId="0" fontId="11" fillId="8" borderId="36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5" borderId="35" xfId="0" applyFont="1" applyFill="1" applyBorder="1" applyAlignment="1">
      <alignment horizontal="center"/>
    </xf>
    <xf numFmtId="0" fontId="11" fillId="5" borderId="36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0" fillId="8" borderId="48" xfId="0" applyFill="1" applyBorder="1" applyAlignment="1">
      <alignment horizontal="left" wrapText="1"/>
    </xf>
    <xf numFmtId="0" fontId="0" fillId="8" borderId="49" xfId="0" applyFill="1" applyBorder="1" applyAlignment="1">
      <alignment horizontal="left" wrapText="1"/>
    </xf>
    <xf numFmtId="0" fontId="0" fillId="8" borderId="42" xfId="0" applyFill="1" applyBorder="1" applyAlignment="1">
      <alignment horizontal="left" wrapText="1"/>
    </xf>
    <xf numFmtId="0" fontId="0" fillId="8" borderId="52" xfId="0" applyFill="1" applyBorder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0" fillId="9" borderId="17" xfId="0" applyFill="1" applyBorder="1" applyAlignment="1">
      <alignment horizontal="center" vertical="center" wrapText="1"/>
    </xf>
    <xf numFmtId="0" fontId="0" fillId="9" borderId="17" xfId="0" applyFill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4" borderId="25" xfId="0" applyFill="1" applyBorder="1" applyAlignment="1">
      <alignment horizontal="left"/>
    </xf>
    <xf numFmtId="0" fontId="0" fillId="4" borderId="34" xfId="0" applyFill="1" applyBorder="1" applyAlignment="1">
      <alignment horizontal="left"/>
    </xf>
    <xf numFmtId="0" fontId="0" fillId="5" borderId="25" xfId="0" applyFill="1" applyBorder="1" applyAlignment="1">
      <alignment horizontal="left"/>
    </xf>
    <xf numFmtId="0" fontId="0" fillId="5" borderId="34" xfId="0" applyFill="1" applyBorder="1" applyAlignment="1">
      <alignment horizontal="left"/>
    </xf>
    <xf numFmtId="0" fontId="0" fillId="6" borderId="25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7" borderId="27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48" xfId="0" applyFill="1" applyBorder="1" applyAlignment="1">
      <alignment horizontal="left" vertical="top" wrapText="1"/>
    </xf>
    <xf numFmtId="0" fontId="0" fillId="7" borderId="49" xfId="0" applyFill="1" applyBorder="1" applyAlignment="1">
      <alignment horizontal="left" vertical="top" wrapText="1"/>
    </xf>
    <xf numFmtId="0" fontId="0" fillId="7" borderId="50" xfId="0" applyFill="1" applyBorder="1" applyAlignment="1">
      <alignment horizontal="left" vertical="top" wrapText="1"/>
    </xf>
    <xf numFmtId="0" fontId="0" fillId="7" borderId="51" xfId="0" applyFill="1" applyBorder="1" applyAlignment="1">
      <alignment horizontal="left" vertical="top" wrapText="1"/>
    </xf>
    <xf numFmtId="0" fontId="0" fillId="7" borderId="42" xfId="0" applyFill="1" applyBorder="1" applyAlignment="1">
      <alignment horizontal="left" vertical="top" wrapText="1"/>
    </xf>
    <xf numFmtId="0" fontId="0" fillId="7" borderId="52" xfId="0" applyFill="1" applyBorder="1" applyAlignment="1">
      <alignment horizontal="left" vertical="top" wrapText="1"/>
    </xf>
    <xf numFmtId="0" fontId="0" fillId="5" borderId="17" xfId="0" applyFill="1" applyBorder="1" applyAlignment="1">
      <alignment horizontal="left" vertical="top"/>
    </xf>
    <xf numFmtId="0" fontId="0" fillId="7" borderId="17" xfId="0" applyFont="1" applyFill="1" applyBorder="1" applyAlignment="1">
      <alignment horizontal="left" vertical="top"/>
    </xf>
    <xf numFmtId="0" fontId="0" fillId="8" borderId="17" xfId="0" applyFont="1" applyFill="1" applyBorder="1" applyAlignment="1">
      <alignment horizontal="left" vertical="top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1" fillId="4" borderId="35" xfId="0" applyFont="1" applyFill="1" applyBorder="1" applyAlignment="1">
      <alignment horizontal="center"/>
    </xf>
    <xf numFmtId="0" fontId="11" fillId="4" borderId="36" xfId="0" applyFont="1" applyFill="1" applyBorder="1" applyAlignment="1">
      <alignment horizontal="center"/>
    </xf>
    <xf numFmtId="0" fontId="0" fillId="9" borderId="25" xfId="0" applyFont="1" applyFill="1" applyBorder="1" applyAlignment="1">
      <alignment horizontal="left" vertical="top"/>
    </xf>
    <xf numFmtId="0" fontId="0" fillId="9" borderId="34" xfId="0" applyFont="1" applyFill="1" applyBorder="1" applyAlignment="1">
      <alignment horizontal="left" vertical="top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left"/>
    </xf>
    <xf numFmtId="0" fontId="0" fillId="2" borderId="38" xfId="0" applyFill="1" applyBorder="1" applyAlignment="1">
      <alignment horizontal="left"/>
    </xf>
    <xf numFmtId="0" fontId="7" fillId="0" borderId="0" xfId="0" applyFont="1" applyAlignment="1">
      <alignment horizontal="left" vertical="top"/>
    </xf>
    <xf numFmtId="164" fontId="2" fillId="2" borderId="35" xfId="0" applyNumberFormat="1" applyFont="1" applyFill="1" applyBorder="1" applyAlignment="1">
      <alignment horizontal="left" vertical="top"/>
    </xf>
    <xf numFmtId="164" fontId="2" fillId="2" borderId="36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/>
    </xf>
    <xf numFmtId="0" fontId="0" fillId="0" borderId="48" xfId="0" applyBorder="1" applyAlignment="1">
      <alignment horizontal="left"/>
    </xf>
    <xf numFmtId="0" fontId="0" fillId="0" borderId="49" xfId="0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43" xfId="0" applyFill="1" applyBorder="1" applyAlignment="1">
      <alignment horizontal="left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0" fillId="2" borderId="35" xfId="0" applyFill="1" applyBorder="1" applyAlignment="1">
      <alignment horizontal="left"/>
    </xf>
    <xf numFmtId="0" fontId="0" fillId="2" borderId="36" xfId="0" applyFill="1" applyBorder="1" applyAlignment="1">
      <alignment horizontal="left"/>
    </xf>
    <xf numFmtId="0" fontId="0" fillId="2" borderId="45" xfId="0" applyFill="1" applyBorder="1" applyAlignment="1">
      <alignment horizontal="left"/>
    </xf>
    <xf numFmtId="0" fontId="6" fillId="3" borderId="35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left"/>
    </xf>
    <xf numFmtId="0" fontId="0" fillId="3" borderId="38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left"/>
    </xf>
    <xf numFmtId="0" fontId="0" fillId="2" borderId="30" xfId="0" applyFill="1" applyBorder="1" applyAlignment="1">
      <alignment horizontal="left"/>
    </xf>
    <xf numFmtId="0" fontId="0" fillId="2" borderId="31" xfId="0" applyFill="1" applyBorder="1" applyAlignment="1">
      <alignment horizontal="left"/>
    </xf>
    <xf numFmtId="0" fontId="0" fillId="2" borderId="57" xfId="0" applyFill="1" applyBorder="1" applyAlignment="1">
      <alignment horizontal="left"/>
    </xf>
    <xf numFmtId="0" fontId="0" fillId="2" borderId="47" xfId="0" applyFill="1" applyBorder="1" applyAlignment="1">
      <alignment horizontal="left"/>
    </xf>
    <xf numFmtId="0" fontId="0" fillId="2" borderId="52" xfId="0" applyFill="1" applyBorder="1" applyAlignment="1">
      <alignment horizontal="left"/>
    </xf>
    <xf numFmtId="0" fontId="2" fillId="3" borderId="3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0" fillId="3" borderId="29" xfId="0" applyFill="1" applyBorder="1" applyAlignment="1">
      <alignment horizontal="left"/>
    </xf>
    <xf numFmtId="0" fontId="0" fillId="3" borderId="30" xfId="0" applyFill="1" applyBorder="1" applyAlignment="1">
      <alignment horizontal="left"/>
    </xf>
    <xf numFmtId="0" fontId="0" fillId="3" borderId="31" xfId="0" applyFill="1" applyBorder="1" applyAlignment="1">
      <alignment horizontal="left"/>
    </xf>
    <xf numFmtId="0" fontId="0" fillId="3" borderId="32" xfId="0" applyFill="1" applyBorder="1" applyAlignment="1">
      <alignment horizontal="left"/>
    </xf>
    <xf numFmtId="0" fontId="0" fillId="3" borderId="33" xfId="0" applyFill="1" applyBorder="1" applyAlignment="1">
      <alignment horizontal="left"/>
    </xf>
    <xf numFmtId="0" fontId="0" fillId="3" borderId="34" xfId="0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/>
    <xf numFmtId="0" fontId="0" fillId="2" borderId="17" xfId="0" applyFont="1" applyFill="1" applyBorder="1" applyAlignment="1"/>
    <xf numFmtId="0" fontId="2" fillId="3" borderId="8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41" xfId="0" applyFill="1" applyBorder="1" applyAlignment="1"/>
    <xf numFmtId="0" fontId="0" fillId="3" borderId="21" xfId="0" applyFill="1" applyBorder="1" applyAlignment="1"/>
    <xf numFmtId="0" fontId="0" fillId="3" borderId="19" xfId="0" applyFill="1" applyBorder="1" applyAlignment="1"/>
    <xf numFmtId="0" fontId="0" fillId="3" borderId="20" xfId="0" applyFill="1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11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 wrapText="1"/>
    </xf>
    <xf numFmtId="0" fontId="2" fillId="12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0" fillId="2" borderId="37" xfId="0" applyFill="1" applyBorder="1" applyAlignment="1"/>
    <xf numFmtId="0" fontId="0" fillId="2" borderId="38" xfId="0" applyFill="1" applyBorder="1" applyAlignment="1"/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11" fillId="7" borderId="44" xfId="0" applyFont="1" applyFill="1" applyBorder="1" applyAlignment="1">
      <alignment horizontal="center"/>
    </xf>
    <xf numFmtId="0" fontId="2" fillId="0" borderId="58" xfId="0" applyFont="1" applyBorder="1" applyAlignment="1">
      <alignment horizontal="center" vertical="center"/>
    </xf>
    <xf numFmtId="0" fontId="11" fillId="9" borderId="44" xfId="0" applyFont="1" applyFill="1" applyBorder="1" applyAlignment="1">
      <alignment horizontal="center"/>
    </xf>
    <xf numFmtId="0" fontId="11" fillId="7" borderId="8" xfId="0" applyFont="1" applyFill="1" applyBorder="1" applyAlignment="1">
      <alignment horizontal="center"/>
    </xf>
    <xf numFmtId="0" fontId="11" fillId="7" borderId="9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0" fontId="11" fillId="8" borderId="8" xfId="0" applyFont="1" applyFill="1" applyBorder="1" applyAlignment="1">
      <alignment horizontal="center"/>
    </xf>
    <xf numFmtId="0" fontId="11" fillId="8" borderId="9" xfId="0" applyFont="1" applyFill="1" applyBorder="1" applyAlignment="1">
      <alignment horizontal="center"/>
    </xf>
    <xf numFmtId="0" fontId="11" fillId="9" borderId="8" xfId="0" applyFont="1" applyFill="1" applyBorder="1" applyAlignment="1">
      <alignment horizontal="center"/>
    </xf>
    <xf numFmtId="0" fontId="11" fillId="9" borderId="9" xfId="0" applyFont="1" applyFill="1" applyBorder="1" applyAlignment="1">
      <alignment horizontal="center"/>
    </xf>
    <xf numFmtId="0" fontId="11" fillId="6" borderId="44" xfId="0" applyFont="1" applyFill="1" applyBorder="1" applyAlignment="1">
      <alignment horizontal="center"/>
    </xf>
    <xf numFmtId="0" fontId="11" fillId="8" borderId="44" xfId="0" applyFont="1" applyFill="1" applyBorder="1" applyAlignment="1">
      <alignment horizontal="center"/>
    </xf>
    <xf numFmtId="0" fontId="11" fillId="5" borderId="44" xfId="0" applyFont="1" applyFill="1" applyBorder="1" applyAlignment="1">
      <alignment horizontal="center"/>
    </xf>
    <xf numFmtId="0" fontId="11" fillId="7" borderId="8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1" fillId="7" borderId="4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topLeftCell="A24" zoomScale="80" zoomScaleNormal="80" workbookViewId="0">
      <selection activeCell="N107" sqref="A54:N107"/>
    </sheetView>
  </sheetViews>
  <sheetFormatPr defaultRowHeight="15" x14ac:dyDescent="0.25"/>
  <cols>
    <col min="4" max="4" width="16.5703125" customWidth="1"/>
    <col min="5" max="6" width="17.7109375" customWidth="1"/>
    <col min="7" max="7" width="20.42578125" customWidth="1"/>
    <col min="8" max="8" width="30.42578125" customWidth="1"/>
    <col min="10" max="10" width="23" customWidth="1"/>
    <col min="11" max="11" width="19.85546875" customWidth="1"/>
    <col min="12" max="12" width="18" customWidth="1"/>
    <col min="13" max="13" width="20.5703125" customWidth="1"/>
    <col min="14" max="14" width="18.140625" customWidth="1"/>
    <col min="15" max="15" width="17.28515625" customWidth="1"/>
    <col min="16" max="16" width="15.5703125" customWidth="1"/>
    <col min="17" max="17" width="17.85546875" customWidth="1"/>
    <col min="18" max="18" width="14" customWidth="1"/>
    <col min="19" max="19" width="20.85546875" customWidth="1"/>
  </cols>
  <sheetData>
    <row r="1" spans="2:19" ht="34.5" customHeight="1" x14ac:dyDescent="0.25">
      <c r="B1" s="71" t="s">
        <v>162</v>
      </c>
    </row>
    <row r="2" spans="2:19" ht="21" x14ac:dyDescent="0.35">
      <c r="B2" s="368" t="s">
        <v>160</v>
      </c>
      <c r="C2" s="368"/>
      <c r="D2" s="368"/>
      <c r="E2" s="368"/>
      <c r="F2" s="368"/>
      <c r="G2" s="368"/>
      <c r="H2" s="368"/>
      <c r="I2" s="368"/>
      <c r="J2" s="368"/>
    </row>
    <row r="3" spans="2:19" ht="15.75" thickBot="1" x14ac:dyDescent="0.3"/>
    <row r="4" spans="2:19" ht="15" customHeight="1" x14ac:dyDescent="0.25">
      <c r="B4" s="369" t="s">
        <v>0</v>
      </c>
      <c r="C4" s="370"/>
      <c r="D4" s="370"/>
      <c r="E4" s="371"/>
      <c r="F4" s="369" t="s">
        <v>1</v>
      </c>
      <c r="G4" s="370"/>
      <c r="H4" s="371"/>
      <c r="I4" s="366" t="s">
        <v>2</v>
      </c>
      <c r="J4" s="364" t="s">
        <v>157</v>
      </c>
      <c r="K4" s="364" t="s">
        <v>3</v>
      </c>
      <c r="L4" s="364" t="s">
        <v>4</v>
      </c>
      <c r="M4" s="364" t="s">
        <v>5</v>
      </c>
      <c r="N4" s="366" t="s">
        <v>6</v>
      </c>
      <c r="O4" s="364" t="s">
        <v>7</v>
      </c>
      <c r="P4" s="366" t="s">
        <v>8</v>
      </c>
      <c r="Q4" s="364" t="s">
        <v>9</v>
      </c>
      <c r="R4" s="366" t="s">
        <v>10</v>
      </c>
      <c r="S4" s="378" t="s">
        <v>150</v>
      </c>
    </row>
    <row r="5" spans="2:19" ht="29.25" customHeight="1" thickBot="1" x14ac:dyDescent="0.3">
      <c r="B5" s="372"/>
      <c r="C5" s="373"/>
      <c r="D5" s="373"/>
      <c r="E5" s="374"/>
      <c r="F5" s="375"/>
      <c r="G5" s="376"/>
      <c r="H5" s="377"/>
      <c r="I5" s="367"/>
      <c r="J5" s="365"/>
      <c r="K5" s="365"/>
      <c r="L5" s="365"/>
      <c r="M5" s="365"/>
      <c r="N5" s="367"/>
      <c r="O5" s="365"/>
      <c r="P5" s="367"/>
      <c r="Q5" s="365"/>
      <c r="R5" s="380"/>
      <c r="S5" s="379"/>
    </row>
    <row r="6" spans="2:19" ht="21.75" customHeight="1" thickBot="1" x14ac:dyDescent="0.3">
      <c r="B6" s="381" t="s">
        <v>11</v>
      </c>
      <c r="C6" s="382"/>
      <c r="D6" s="382"/>
      <c r="E6" s="383"/>
      <c r="F6" s="384" t="s">
        <v>12</v>
      </c>
      <c r="G6" s="385"/>
      <c r="H6" s="385"/>
      <c r="I6" s="57">
        <v>7.25</v>
      </c>
      <c r="J6" s="48">
        <f>4591386.7*110%</f>
        <v>5050525.370000001</v>
      </c>
      <c r="K6" s="60">
        <v>0.06</v>
      </c>
      <c r="L6" s="48">
        <f>J6*K6</f>
        <v>303031.52220000006</v>
      </c>
      <c r="M6" s="58">
        <v>3.5000000000000001E-3</v>
      </c>
      <c r="N6" s="49">
        <f>L6/K6*M6</f>
        <v>17676.838795000003</v>
      </c>
      <c r="O6" s="60">
        <v>5.6500000000000002E-2</v>
      </c>
      <c r="P6" s="48">
        <f>L6/K6*O6</f>
        <v>285354.68340500008</v>
      </c>
      <c r="Q6" s="59"/>
      <c r="R6" s="67"/>
      <c r="S6" s="67">
        <v>17600</v>
      </c>
    </row>
    <row r="7" spans="2:19" x14ac:dyDescent="0.25">
      <c r="B7" s="358" t="s">
        <v>15</v>
      </c>
      <c r="C7" s="359"/>
      <c r="D7" s="359"/>
      <c r="E7" s="359"/>
      <c r="F7" s="360" t="s">
        <v>14</v>
      </c>
      <c r="G7" s="361"/>
      <c r="H7" s="361"/>
      <c r="I7" s="151">
        <v>3.85</v>
      </c>
      <c r="J7" s="47">
        <f>2754490.2*110%</f>
        <v>3029939.2200000007</v>
      </c>
      <c r="K7" s="149">
        <v>0.17</v>
      </c>
      <c r="L7" s="43">
        <f t="shared" ref="L7:L32" si="0">J7*K7</f>
        <v>515089.66740000015</v>
      </c>
      <c r="M7" s="152">
        <v>4.48E-2</v>
      </c>
      <c r="N7" s="61">
        <f t="shared" ref="N7:N29" si="1">L7/K7*M7</f>
        <v>135741.27705600002</v>
      </c>
      <c r="O7" s="149">
        <v>4.4299999999999999E-2</v>
      </c>
      <c r="P7" s="47">
        <f>L7/K7*O7</f>
        <v>134226.30744600002</v>
      </c>
      <c r="Q7" s="149">
        <v>8.09E-2</v>
      </c>
      <c r="R7" s="153">
        <f>L7/K7*Q7</f>
        <v>245122.08289800005</v>
      </c>
      <c r="S7" s="153">
        <v>135700</v>
      </c>
    </row>
    <row r="8" spans="2:19" ht="15.75" thickBot="1" x14ac:dyDescent="0.3">
      <c r="B8" s="297"/>
      <c r="C8" s="298"/>
      <c r="D8" s="298"/>
      <c r="E8" s="298"/>
      <c r="F8" s="362" t="s">
        <v>16</v>
      </c>
      <c r="G8" s="363"/>
      <c r="H8" s="363"/>
      <c r="I8" s="19">
        <v>1.6</v>
      </c>
      <c r="J8" s="20">
        <f>1084108.8*110%</f>
        <v>1192519.6800000002</v>
      </c>
      <c r="K8" s="23">
        <v>0.17</v>
      </c>
      <c r="L8" s="20">
        <f t="shared" si="0"/>
        <v>202728.34560000003</v>
      </c>
      <c r="M8" s="21">
        <v>7.0499999999999993E-2</v>
      </c>
      <c r="N8" s="22">
        <f t="shared" si="1"/>
        <v>84072.637440000006</v>
      </c>
      <c r="O8" s="23">
        <v>7.46E-2</v>
      </c>
      <c r="P8" s="24">
        <f>L8/K8*O8</f>
        <v>88961.968128000008</v>
      </c>
      <c r="Q8" s="25">
        <v>2.1899999999999999E-2</v>
      </c>
      <c r="R8" s="26">
        <f>L8/K8*Q8</f>
        <v>26116.180992000001</v>
      </c>
      <c r="S8" s="26">
        <v>84000</v>
      </c>
    </row>
    <row r="9" spans="2:19" x14ac:dyDescent="0.25">
      <c r="B9" s="347" t="s">
        <v>17</v>
      </c>
      <c r="C9" s="348"/>
      <c r="D9" s="348"/>
      <c r="E9" s="349"/>
      <c r="F9" s="356" t="s">
        <v>18</v>
      </c>
      <c r="G9" s="357"/>
      <c r="H9" s="357"/>
      <c r="I9" s="27">
        <v>1.5</v>
      </c>
      <c r="J9" s="5">
        <f>1184754.3*110%</f>
        <v>1303229.7300000002</v>
      </c>
      <c r="K9" s="163">
        <v>0.15</v>
      </c>
      <c r="L9" s="2">
        <f t="shared" si="0"/>
        <v>195484.45950000003</v>
      </c>
      <c r="M9" s="3">
        <v>0.15</v>
      </c>
      <c r="N9" s="28">
        <f t="shared" si="1"/>
        <v>195484.45950000003</v>
      </c>
      <c r="O9" s="4"/>
      <c r="P9" s="29"/>
      <c r="Q9" s="30"/>
      <c r="R9" s="31"/>
      <c r="S9" s="35">
        <v>195400</v>
      </c>
    </row>
    <row r="10" spans="2:19" x14ac:dyDescent="0.25">
      <c r="B10" s="350"/>
      <c r="C10" s="351"/>
      <c r="D10" s="351"/>
      <c r="E10" s="352"/>
      <c r="F10" s="356" t="s">
        <v>147</v>
      </c>
      <c r="G10" s="357"/>
      <c r="H10" s="357"/>
      <c r="I10" s="27">
        <v>2.1</v>
      </c>
      <c r="J10" s="5">
        <f>1529640*110%</f>
        <v>1682604.0000000002</v>
      </c>
      <c r="K10" s="163">
        <v>0.3</v>
      </c>
      <c r="L10" s="5">
        <f t="shared" si="0"/>
        <v>504781.20000000007</v>
      </c>
      <c r="M10" s="166">
        <v>0.3</v>
      </c>
      <c r="N10" s="9">
        <f t="shared" si="1"/>
        <v>504781.20000000007</v>
      </c>
      <c r="O10" s="32"/>
      <c r="P10" s="4"/>
      <c r="Q10" s="155"/>
      <c r="R10" s="156"/>
      <c r="S10" s="35">
        <v>504700</v>
      </c>
    </row>
    <row r="11" spans="2:19" ht="15" customHeight="1" x14ac:dyDescent="0.25">
      <c r="B11" s="350"/>
      <c r="C11" s="351"/>
      <c r="D11" s="351"/>
      <c r="E11" s="352"/>
      <c r="F11" s="356" t="s">
        <v>19</v>
      </c>
      <c r="G11" s="357"/>
      <c r="H11" s="357"/>
      <c r="I11" s="27">
        <v>6.4</v>
      </c>
      <c r="J11" s="5">
        <f>3661826.2*110%</f>
        <v>4028008.8200000003</v>
      </c>
      <c r="K11" s="163">
        <v>9.5000000000000001E-2</v>
      </c>
      <c r="L11" s="5">
        <f>J11*K11</f>
        <v>382660.83790000004</v>
      </c>
      <c r="M11" s="166">
        <v>9.5000000000000001E-2</v>
      </c>
      <c r="N11" s="9">
        <f t="shared" si="1"/>
        <v>382660.83790000004</v>
      </c>
      <c r="O11" s="32"/>
      <c r="P11" s="33"/>
      <c r="Q11" s="34"/>
      <c r="R11" s="35"/>
      <c r="S11" s="35">
        <v>382600</v>
      </c>
    </row>
    <row r="12" spans="2:19" x14ac:dyDescent="0.25">
      <c r="B12" s="350"/>
      <c r="C12" s="351"/>
      <c r="D12" s="351"/>
      <c r="E12" s="352"/>
      <c r="F12" s="356" t="s">
        <v>13</v>
      </c>
      <c r="G12" s="357"/>
      <c r="H12" s="357"/>
      <c r="I12" s="27">
        <v>2.8</v>
      </c>
      <c r="J12" s="5">
        <f>1848403.2*110%</f>
        <v>2033243.52</v>
      </c>
      <c r="K12" s="163">
        <v>9.5000000000000001E-2</v>
      </c>
      <c r="L12" s="5">
        <f t="shared" si="0"/>
        <v>193158.13440000001</v>
      </c>
      <c r="M12" s="6">
        <v>9.5000000000000001E-2</v>
      </c>
      <c r="N12" s="36">
        <f t="shared" si="1"/>
        <v>193158.13440000001</v>
      </c>
      <c r="O12" s="4"/>
      <c r="P12" s="5"/>
      <c r="Q12" s="4"/>
      <c r="R12" s="7"/>
      <c r="S12" s="7">
        <v>193100</v>
      </c>
    </row>
    <row r="13" spans="2:19" ht="15.75" thickBot="1" x14ac:dyDescent="0.3">
      <c r="B13" s="353"/>
      <c r="C13" s="354"/>
      <c r="D13" s="354"/>
      <c r="E13" s="355"/>
      <c r="F13" s="356" t="s">
        <v>20</v>
      </c>
      <c r="G13" s="357"/>
      <c r="H13" s="357"/>
      <c r="I13" s="27">
        <v>13.25</v>
      </c>
      <c r="J13" s="5">
        <f>7729036.2*110%</f>
        <v>8501939.8200000003</v>
      </c>
      <c r="K13" s="163">
        <v>0.22</v>
      </c>
      <c r="L13" s="8">
        <f t="shared" si="0"/>
        <v>1870426.7604</v>
      </c>
      <c r="M13" s="6">
        <v>0.22</v>
      </c>
      <c r="N13" s="37">
        <f t="shared" si="1"/>
        <v>1870426.7604</v>
      </c>
      <c r="O13" s="4"/>
      <c r="P13" s="10"/>
      <c r="Q13" s="32"/>
      <c r="R13" s="11"/>
      <c r="S13" s="11">
        <v>1870400</v>
      </c>
    </row>
    <row r="14" spans="2:19" x14ac:dyDescent="0.25">
      <c r="B14" s="331" t="s">
        <v>21</v>
      </c>
      <c r="C14" s="332"/>
      <c r="D14" s="332"/>
      <c r="E14" s="332"/>
      <c r="F14" s="341" t="s">
        <v>22</v>
      </c>
      <c r="G14" s="342"/>
      <c r="H14" s="343"/>
      <c r="I14" s="38">
        <v>2.52</v>
      </c>
      <c r="J14" s="39">
        <f>1729425.6*110%</f>
        <v>1902368.1600000001</v>
      </c>
      <c r="K14" s="150">
        <v>0.17</v>
      </c>
      <c r="L14" s="39">
        <f t="shared" si="0"/>
        <v>323402.58720000007</v>
      </c>
      <c r="M14" s="40">
        <v>1.52E-2</v>
      </c>
      <c r="N14" s="41">
        <f t="shared" si="1"/>
        <v>28915.996032000003</v>
      </c>
      <c r="O14" s="42">
        <v>0.1421</v>
      </c>
      <c r="P14" s="43">
        <f>L14/K14*O14</f>
        <v>270326.51553600002</v>
      </c>
      <c r="Q14" s="150">
        <v>1.2699999999999999E-2</v>
      </c>
      <c r="R14" s="44">
        <f>L14/K14*Q14</f>
        <v>24160.075632</v>
      </c>
      <c r="S14" s="44">
        <v>28900</v>
      </c>
    </row>
    <row r="15" spans="2:19" x14ac:dyDescent="0.25">
      <c r="B15" s="333"/>
      <c r="C15" s="334"/>
      <c r="D15" s="334"/>
      <c r="E15" s="334"/>
      <c r="F15" s="344" t="s">
        <v>23</v>
      </c>
      <c r="G15" s="345"/>
      <c r="H15" s="346"/>
      <c r="I15" s="13">
        <v>2.62</v>
      </c>
      <c r="J15" s="14">
        <f>1896963.4*110%</f>
        <v>2086659.74</v>
      </c>
      <c r="K15" s="17">
        <v>0.17</v>
      </c>
      <c r="L15" s="14">
        <f t="shared" si="0"/>
        <v>354732.15580000001</v>
      </c>
      <c r="M15" s="15">
        <v>2.7900000000000001E-2</v>
      </c>
      <c r="N15" s="16">
        <f t="shared" si="1"/>
        <v>58217.806746000002</v>
      </c>
      <c r="O15" s="17">
        <v>0.13100000000000001</v>
      </c>
      <c r="P15" s="14">
        <f>L15/K15*O15</f>
        <v>273352.42593999999</v>
      </c>
      <c r="Q15" s="17">
        <v>1.11E-2</v>
      </c>
      <c r="R15" s="18">
        <f>L15/K15*Q15</f>
        <v>23161.923114000001</v>
      </c>
      <c r="S15" s="18">
        <v>58200</v>
      </c>
    </row>
    <row r="16" spans="2:19" x14ac:dyDescent="0.25">
      <c r="B16" s="333"/>
      <c r="C16" s="334"/>
      <c r="D16" s="334"/>
      <c r="E16" s="334"/>
      <c r="F16" s="339" t="s">
        <v>24</v>
      </c>
      <c r="G16" s="340"/>
      <c r="H16" s="340"/>
      <c r="I16" s="13">
        <v>5.5</v>
      </c>
      <c r="J16" s="14">
        <f>2757455*110%</f>
        <v>3033200.5000000005</v>
      </c>
      <c r="K16" s="17">
        <v>0.2</v>
      </c>
      <c r="L16" s="14">
        <f t="shared" si="0"/>
        <v>606640.10000000009</v>
      </c>
      <c r="M16" s="15">
        <v>0.1545</v>
      </c>
      <c r="N16" s="16">
        <f t="shared" si="1"/>
        <v>468629.47725000005</v>
      </c>
      <c r="O16" s="17">
        <v>4.5499999999999999E-2</v>
      </c>
      <c r="P16" s="14">
        <f>L16/K16*O16</f>
        <v>138010.62275000001</v>
      </c>
      <c r="Q16" s="45"/>
      <c r="R16" s="18"/>
      <c r="S16" s="18">
        <v>468600</v>
      </c>
    </row>
    <row r="17" spans="2:19" ht="15.75" thickBot="1" x14ac:dyDescent="0.3">
      <c r="B17" s="335"/>
      <c r="C17" s="336"/>
      <c r="D17" s="336"/>
      <c r="E17" s="336"/>
      <c r="F17" s="302" t="s">
        <v>25</v>
      </c>
      <c r="G17" s="303"/>
      <c r="H17" s="303"/>
      <c r="I17" s="19">
        <v>6.9</v>
      </c>
      <c r="J17" s="20">
        <f>3769770.1*110%</f>
        <v>4146747.1100000003</v>
      </c>
      <c r="K17" s="23">
        <v>0.2</v>
      </c>
      <c r="L17" s="20">
        <f t="shared" si="0"/>
        <v>829349.42200000014</v>
      </c>
      <c r="M17" s="21">
        <v>0.2</v>
      </c>
      <c r="N17" s="22">
        <f t="shared" si="1"/>
        <v>829349.42200000014</v>
      </c>
      <c r="O17" s="46"/>
      <c r="P17" s="47"/>
      <c r="Q17" s="46"/>
      <c r="R17" s="26"/>
      <c r="S17" s="26">
        <v>829300</v>
      </c>
    </row>
    <row r="18" spans="2:19" ht="15.75" thickBot="1" x14ac:dyDescent="0.3">
      <c r="B18" s="329" t="s">
        <v>26</v>
      </c>
      <c r="C18" s="330"/>
      <c r="D18" s="330"/>
      <c r="E18" s="330"/>
      <c r="F18" s="287" t="s">
        <v>27</v>
      </c>
      <c r="G18" s="288"/>
      <c r="H18" s="288"/>
      <c r="I18" s="202">
        <v>6.6</v>
      </c>
      <c r="J18" s="48">
        <f>2975808*110%</f>
        <v>3273388.8000000003</v>
      </c>
      <c r="K18" s="60">
        <v>0.13</v>
      </c>
      <c r="L18" s="48">
        <f t="shared" si="0"/>
        <v>425540.54400000005</v>
      </c>
      <c r="M18" s="203" t="s">
        <v>153</v>
      </c>
      <c r="N18" s="49">
        <f>L18/76*10</f>
        <v>55992.176842105269</v>
      </c>
      <c r="O18" s="50"/>
      <c r="P18" s="2"/>
      <c r="Q18" s="50"/>
      <c r="R18" s="51"/>
      <c r="S18" s="51">
        <v>55900</v>
      </c>
    </row>
    <row r="19" spans="2:19" x14ac:dyDescent="0.25">
      <c r="B19" s="331" t="s">
        <v>28</v>
      </c>
      <c r="C19" s="332"/>
      <c r="D19" s="332"/>
      <c r="E19" s="332"/>
      <c r="F19" s="337" t="s">
        <v>29</v>
      </c>
      <c r="G19" s="338"/>
      <c r="H19" s="338"/>
      <c r="I19" s="38">
        <v>4.2</v>
      </c>
      <c r="J19" s="39">
        <f>2882376*110%</f>
        <v>3170613.6</v>
      </c>
      <c r="K19" s="150">
        <v>0.17</v>
      </c>
      <c r="L19" s="39">
        <f t="shared" si="0"/>
        <v>539004.31200000003</v>
      </c>
      <c r="M19" s="52">
        <v>0.12659999999999999</v>
      </c>
      <c r="N19" s="22">
        <f t="shared" si="1"/>
        <v>401399.68176000001</v>
      </c>
      <c r="O19" s="53"/>
      <c r="P19" s="43"/>
      <c r="Q19" s="42">
        <v>4.3400000000000001E-2</v>
      </c>
      <c r="R19" s="44">
        <f>L19/K19*Q19</f>
        <v>137604.63024</v>
      </c>
      <c r="S19" s="44">
        <v>401300</v>
      </c>
    </row>
    <row r="20" spans="2:19" x14ac:dyDescent="0.25">
      <c r="B20" s="333"/>
      <c r="C20" s="334"/>
      <c r="D20" s="334"/>
      <c r="E20" s="334"/>
      <c r="F20" s="339" t="s">
        <v>30</v>
      </c>
      <c r="G20" s="340"/>
      <c r="H20" s="340"/>
      <c r="I20" s="13">
        <v>1</v>
      </c>
      <c r="J20" s="47">
        <f>945825*110%</f>
        <v>1040407.5000000001</v>
      </c>
      <c r="K20" s="17">
        <v>0.18</v>
      </c>
      <c r="L20" s="14">
        <f t="shared" si="0"/>
        <v>187273.35</v>
      </c>
      <c r="M20" s="15">
        <v>0.18</v>
      </c>
      <c r="N20" s="16">
        <f t="shared" si="1"/>
        <v>187273.35</v>
      </c>
      <c r="O20" s="45"/>
      <c r="P20" s="14"/>
      <c r="Q20" s="45"/>
      <c r="R20" s="18"/>
      <c r="S20" s="18">
        <v>187200</v>
      </c>
    </row>
    <row r="21" spans="2:19" x14ac:dyDescent="0.25">
      <c r="B21" s="333"/>
      <c r="C21" s="334"/>
      <c r="D21" s="334"/>
      <c r="E21" s="334"/>
      <c r="F21" s="339" t="s">
        <v>31</v>
      </c>
      <c r="G21" s="340"/>
      <c r="H21" s="340"/>
      <c r="I21" s="13">
        <v>3</v>
      </c>
      <c r="J21" s="14">
        <f>2058840*110%</f>
        <v>2264724</v>
      </c>
      <c r="K21" s="17">
        <v>0.27</v>
      </c>
      <c r="L21" s="14">
        <f t="shared" si="0"/>
        <v>611475.4800000001</v>
      </c>
      <c r="M21" s="15">
        <v>0.27</v>
      </c>
      <c r="N21" s="16">
        <f t="shared" si="1"/>
        <v>611475.4800000001</v>
      </c>
      <c r="O21" s="45"/>
      <c r="P21" s="24"/>
      <c r="Q21" s="54"/>
      <c r="R21" s="55"/>
      <c r="S21" s="55">
        <v>611400</v>
      </c>
    </row>
    <row r="22" spans="2:19" x14ac:dyDescent="0.25">
      <c r="B22" s="333"/>
      <c r="C22" s="334"/>
      <c r="D22" s="334"/>
      <c r="E22" s="334"/>
      <c r="F22" s="339" t="s">
        <v>32</v>
      </c>
      <c r="G22" s="340"/>
      <c r="H22" s="340"/>
      <c r="I22" s="13">
        <v>17.600000000000001</v>
      </c>
      <c r="J22" s="14">
        <f>10473167.9*110%</f>
        <v>11520484.690000001</v>
      </c>
      <c r="K22" s="17">
        <v>0.2</v>
      </c>
      <c r="L22" s="14">
        <f t="shared" si="0"/>
        <v>2304096.9380000005</v>
      </c>
      <c r="M22" s="15">
        <v>0.2</v>
      </c>
      <c r="N22" s="22">
        <f t="shared" si="1"/>
        <v>2304096.9380000005</v>
      </c>
      <c r="O22" s="45"/>
      <c r="P22" s="14"/>
      <c r="Q22" s="45"/>
      <c r="R22" s="18"/>
      <c r="S22" s="18">
        <v>2304000</v>
      </c>
    </row>
    <row r="23" spans="2:19" ht="15.75" thickBot="1" x14ac:dyDescent="0.3">
      <c r="B23" s="335"/>
      <c r="C23" s="336"/>
      <c r="D23" s="336"/>
      <c r="E23" s="336"/>
      <c r="F23" s="302" t="s">
        <v>33</v>
      </c>
      <c r="G23" s="303"/>
      <c r="H23" s="303"/>
      <c r="I23" s="19">
        <v>3</v>
      </c>
      <c r="J23" s="20">
        <f>1651644.3*110%</f>
        <v>1816808.7300000002</v>
      </c>
      <c r="K23" s="23">
        <v>0.2</v>
      </c>
      <c r="L23" s="20">
        <f t="shared" si="0"/>
        <v>363361.74600000004</v>
      </c>
      <c r="M23" s="21">
        <v>0.2</v>
      </c>
      <c r="N23" s="56">
        <f t="shared" si="1"/>
        <v>363361.74600000004</v>
      </c>
      <c r="O23" s="159"/>
      <c r="P23" s="24"/>
      <c r="Q23" s="54"/>
      <c r="R23" s="55"/>
      <c r="S23" s="55">
        <v>363300</v>
      </c>
    </row>
    <row r="24" spans="2:19" x14ac:dyDescent="0.25">
      <c r="B24" s="315" t="s">
        <v>144</v>
      </c>
      <c r="C24" s="316"/>
      <c r="D24" s="316"/>
      <c r="E24" s="317"/>
      <c r="F24" s="321" t="s">
        <v>30</v>
      </c>
      <c r="G24" s="322"/>
      <c r="H24" s="323"/>
      <c r="I24" s="1">
        <v>1.3</v>
      </c>
      <c r="J24" s="10">
        <f>1014858*110%</f>
        <v>1116343.8</v>
      </c>
      <c r="K24" s="164">
        <v>0.18</v>
      </c>
      <c r="L24" s="2">
        <f t="shared" si="0"/>
        <v>200941.88399999999</v>
      </c>
      <c r="M24" s="166">
        <v>0.18</v>
      </c>
      <c r="N24" s="28">
        <f t="shared" si="1"/>
        <v>200941.88399999999</v>
      </c>
      <c r="O24" s="29"/>
      <c r="P24" s="2"/>
      <c r="Q24" s="29"/>
      <c r="R24" s="162"/>
      <c r="S24" s="162">
        <v>200900</v>
      </c>
    </row>
    <row r="25" spans="2:19" ht="15.75" thickBot="1" x14ac:dyDescent="0.3">
      <c r="B25" s="318"/>
      <c r="C25" s="319"/>
      <c r="D25" s="319"/>
      <c r="E25" s="320"/>
      <c r="F25" s="324" t="s">
        <v>147</v>
      </c>
      <c r="G25" s="325"/>
      <c r="H25" s="326"/>
      <c r="I25" s="199">
        <v>3.48</v>
      </c>
      <c r="J25" s="33">
        <f>2444350*110%</f>
        <v>2688785</v>
      </c>
      <c r="K25" s="200">
        <v>0.27</v>
      </c>
      <c r="L25" s="8">
        <f t="shared" si="0"/>
        <v>725971.95000000007</v>
      </c>
      <c r="M25" s="201">
        <v>0.27</v>
      </c>
      <c r="N25" s="36">
        <f t="shared" si="1"/>
        <v>725971.95000000007</v>
      </c>
      <c r="O25" s="154"/>
      <c r="P25" s="10"/>
      <c r="Q25" s="154"/>
      <c r="R25" s="11"/>
      <c r="S25" s="11">
        <v>725900</v>
      </c>
    </row>
    <row r="26" spans="2:19" ht="15.75" thickBot="1" x14ac:dyDescent="0.3">
      <c r="B26" s="327" t="s">
        <v>34</v>
      </c>
      <c r="C26" s="328"/>
      <c r="D26" s="328"/>
      <c r="E26" s="328"/>
      <c r="F26" s="312" t="s">
        <v>35</v>
      </c>
      <c r="G26" s="313"/>
      <c r="H26" s="313"/>
      <c r="I26" s="62">
        <v>5</v>
      </c>
      <c r="J26" s="63">
        <f>3126480*110%</f>
        <v>3439128.0000000005</v>
      </c>
      <c r="K26" s="69">
        <v>0.2</v>
      </c>
      <c r="L26" s="63">
        <f t="shared" si="0"/>
        <v>687825.60000000009</v>
      </c>
      <c r="M26" s="68">
        <v>0.2</v>
      </c>
      <c r="N26" s="64">
        <f t="shared" si="1"/>
        <v>687825.60000000009</v>
      </c>
      <c r="O26" s="65"/>
      <c r="P26" s="39"/>
      <c r="Q26" s="65"/>
      <c r="R26" s="66"/>
      <c r="S26" s="66">
        <v>687800</v>
      </c>
    </row>
    <row r="27" spans="2:19" ht="15.75" thickBot="1" x14ac:dyDescent="0.3">
      <c r="B27" s="285" t="s">
        <v>36</v>
      </c>
      <c r="C27" s="286"/>
      <c r="D27" s="286"/>
      <c r="E27" s="286"/>
      <c r="F27" s="287" t="s">
        <v>37</v>
      </c>
      <c r="G27" s="288"/>
      <c r="H27" s="288"/>
      <c r="I27" s="57">
        <v>5.25</v>
      </c>
      <c r="J27" s="48">
        <f>3465756*110%</f>
        <v>3812331.6</v>
      </c>
      <c r="K27" s="60">
        <v>0.2</v>
      </c>
      <c r="L27" s="48">
        <f t="shared" si="0"/>
        <v>762466.32000000007</v>
      </c>
      <c r="M27" s="58">
        <v>0.2</v>
      </c>
      <c r="N27" s="49">
        <f t="shared" si="1"/>
        <v>762466.32000000007</v>
      </c>
      <c r="O27" s="59"/>
      <c r="P27" s="2"/>
      <c r="Q27" s="59"/>
      <c r="R27" s="51"/>
      <c r="S27" s="51">
        <v>762400</v>
      </c>
    </row>
    <row r="28" spans="2:19" x14ac:dyDescent="0.25">
      <c r="B28" s="295" t="s">
        <v>38</v>
      </c>
      <c r="C28" s="296"/>
      <c r="D28" s="296"/>
      <c r="E28" s="296"/>
      <c r="F28" s="299" t="s">
        <v>19</v>
      </c>
      <c r="G28" s="300"/>
      <c r="H28" s="301"/>
      <c r="I28" s="38">
        <v>1.8</v>
      </c>
      <c r="J28" s="39">
        <f>1269280.8*110%</f>
        <v>1396208.8800000001</v>
      </c>
      <c r="K28" s="150">
        <v>0.06</v>
      </c>
      <c r="L28" s="39">
        <f t="shared" si="0"/>
        <v>83772.532800000001</v>
      </c>
      <c r="M28" s="15">
        <v>0.06</v>
      </c>
      <c r="N28" s="61">
        <f t="shared" si="1"/>
        <v>83772.532800000001</v>
      </c>
      <c r="O28" s="150"/>
      <c r="P28" s="43"/>
      <c r="Q28" s="42"/>
      <c r="R28" s="44"/>
      <c r="S28" s="44">
        <v>83700</v>
      </c>
    </row>
    <row r="29" spans="2:19" ht="15.75" thickBot="1" x14ac:dyDescent="0.3">
      <c r="B29" s="297"/>
      <c r="C29" s="298"/>
      <c r="D29" s="298"/>
      <c r="E29" s="298"/>
      <c r="F29" s="302" t="s">
        <v>14</v>
      </c>
      <c r="G29" s="303"/>
      <c r="H29" s="303"/>
      <c r="I29" s="157">
        <v>3.7</v>
      </c>
      <c r="J29" s="158">
        <f>2635939.2*110%</f>
        <v>2899533.1200000006</v>
      </c>
      <c r="K29" s="165">
        <v>0.17</v>
      </c>
      <c r="L29" s="20">
        <f t="shared" si="0"/>
        <v>492920.63040000014</v>
      </c>
      <c r="M29" s="167">
        <v>0.17</v>
      </c>
      <c r="N29" s="56">
        <f t="shared" si="1"/>
        <v>492920.63040000014</v>
      </c>
      <c r="O29" s="159"/>
      <c r="P29" s="158"/>
      <c r="Q29" s="159"/>
      <c r="R29" s="44"/>
      <c r="S29" s="44">
        <v>429900</v>
      </c>
    </row>
    <row r="30" spans="2:19" ht="15.75" thickBot="1" x14ac:dyDescent="0.3">
      <c r="B30" s="304" t="s">
        <v>148</v>
      </c>
      <c r="C30" s="305"/>
      <c r="D30" s="305"/>
      <c r="E30" s="306"/>
      <c r="F30" s="307" t="s">
        <v>27</v>
      </c>
      <c r="G30" s="308"/>
      <c r="H30" s="309"/>
      <c r="I30" s="57">
        <v>7.7</v>
      </c>
      <c r="J30" s="48">
        <f>4412672*110%</f>
        <v>4853939.2</v>
      </c>
      <c r="K30" s="60">
        <v>0.13</v>
      </c>
      <c r="L30" s="48">
        <f t="shared" si="0"/>
        <v>631012.09600000002</v>
      </c>
      <c r="M30" s="203" t="s">
        <v>155</v>
      </c>
      <c r="N30" s="49">
        <f>L30/136*6</f>
        <v>27838.76894117647</v>
      </c>
      <c r="O30" s="50"/>
      <c r="P30" s="48"/>
      <c r="Q30" s="50"/>
      <c r="R30" s="67"/>
      <c r="S30" s="67">
        <v>27800</v>
      </c>
    </row>
    <row r="31" spans="2:19" ht="15.75" thickBot="1" x14ac:dyDescent="0.3">
      <c r="B31" s="310" t="s">
        <v>39</v>
      </c>
      <c r="C31" s="311"/>
      <c r="D31" s="311"/>
      <c r="E31" s="311"/>
      <c r="F31" s="312" t="s">
        <v>40</v>
      </c>
      <c r="G31" s="313"/>
      <c r="H31" s="313"/>
      <c r="I31" s="62">
        <v>7.42</v>
      </c>
      <c r="J31" s="63">
        <f>3637777.6*110%</f>
        <v>4001555.3600000003</v>
      </c>
      <c r="K31" s="69">
        <v>0.13</v>
      </c>
      <c r="L31" s="63">
        <f t="shared" si="0"/>
        <v>520202.19680000003</v>
      </c>
      <c r="M31" s="204" t="s">
        <v>154</v>
      </c>
      <c r="N31" s="160">
        <f>L31/118*11</f>
        <v>48493.425125423732</v>
      </c>
      <c r="O31" s="161"/>
      <c r="P31" s="63"/>
      <c r="Q31" s="161"/>
      <c r="R31" s="66"/>
      <c r="S31" s="66">
        <v>48400</v>
      </c>
    </row>
    <row r="32" spans="2:19" ht="15.75" thickBot="1" x14ac:dyDescent="0.3">
      <c r="B32" s="285" t="s">
        <v>41</v>
      </c>
      <c r="C32" s="286"/>
      <c r="D32" s="286"/>
      <c r="E32" s="286"/>
      <c r="F32" s="287" t="s">
        <v>42</v>
      </c>
      <c r="G32" s="288"/>
      <c r="H32" s="288"/>
      <c r="I32" s="57">
        <v>2.5499999999999998</v>
      </c>
      <c r="J32" s="48">
        <f>2056320*110%</f>
        <v>2261952</v>
      </c>
      <c r="K32" s="60">
        <v>0.15</v>
      </c>
      <c r="L32" s="48">
        <f t="shared" si="0"/>
        <v>339292.8</v>
      </c>
      <c r="M32" s="58">
        <v>0.03</v>
      </c>
      <c r="N32" s="49">
        <f>L32/K32*M32</f>
        <v>67858.559999999998</v>
      </c>
      <c r="O32" s="60"/>
      <c r="P32" s="48"/>
      <c r="Q32" s="60">
        <v>0.12</v>
      </c>
      <c r="R32" s="67">
        <f>L32/K32*Q32</f>
        <v>271434.23999999999</v>
      </c>
      <c r="S32" s="67">
        <v>67800</v>
      </c>
    </row>
    <row r="33" spans="2:19" ht="18.75" x14ac:dyDescent="0.3">
      <c r="S33" s="191">
        <f>SUM(S6:S32)</f>
        <v>11726200</v>
      </c>
    </row>
    <row r="34" spans="2:19" ht="18.75" x14ac:dyDescent="0.25">
      <c r="B34" s="289" t="s">
        <v>156</v>
      </c>
      <c r="C34" s="289"/>
      <c r="D34" s="289"/>
      <c r="E34" s="289"/>
      <c r="F34" s="289"/>
      <c r="G34" s="289"/>
      <c r="H34" s="289"/>
      <c r="I34" s="289"/>
      <c r="J34" s="70">
        <f>SUM(J6:J32)</f>
        <v>87547189.950000003</v>
      </c>
      <c r="K34" s="71"/>
      <c r="L34" s="70">
        <f>SUM(L6:L32)</f>
        <v>15156643.5724</v>
      </c>
      <c r="M34" s="12"/>
      <c r="N34" s="72"/>
    </row>
    <row r="35" spans="2:19" ht="15.75" thickBot="1" x14ac:dyDescent="0.3"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P35" s="192" t="s">
        <v>146</v>
      </c>
      <c r="Q35" s="12">
        <f>S13+S12+S11+S10+S9</f>
        <v>3146200</v>
      </c>
      <c r="R35" s="192" t="s">
        <v>145</v>
      </c>
      <c r="S35" s="12">
        <f>S33-S27-S26-S23-S13-S12-S11-S10-S9</f>
        <v>6766500</v>
      </c>
    </row>
    <row r="36" spans="2:19" ht="16.5" thickBot="1" x14ac:dyDescent="0.3">
      <c r="B36" s="73" t="s">
        <v>43</v>
      </c>
      <c r="C36" s="73"/>
      <c r="D36" s="73"/>
      <c r="E36" s="73"/>
      <c r="F36" s="73"/>
      <c r="G36" s="73"/>
      <c r="H36" s="74">
        <f>SUM(S6:S32)</f>
        <v>11726200</v>
      </c>
      <c r="I36" s="71"/>
      <c r="J36" s="290" t="s">
        <v>44</v>
      </c>
      <c r="K36" s="291"/>
      <c r="L36" s="291"/>
      <c r="M36" s="75">
        <f>H36-N11-N12-N13-N9-N10</f>
        <v>8579688.6077999994</v>
      </c>
      <c r="N36" s="12"/>
      <c r="O36" s="12"/>
    </row>
    <row r="37" spans="2:19" ht="15.75" x14ac:dyDescent="0.25">
      <c r="B37" s="73"/>
      <c r="C37" s="73"/>
      <c r="D37" s="73"/>
      <c r="E37" s="73"/>
      <c r="F37" s="73"/>
      <c r="G37" s="73"/>
      <c r="H37" s="76"/>
      <c r="I37" s="71"/>
      <c r="J37" s="71"/>
      <c r="K37" s="71"/>
      <c r="L37" s="71"/>
      <c r="M37" s="12"/>
    </row>
    <row r="38" spans="2:19" x14ac:dyDescent="0.25">
      <c r="B38" s="71" t="s">
        <v>45</v>
      </c>
      <c r="C38" s="71"/>
      <c r="D38" s="71"/>
      <c r="E38" s="71"/>
      <c r="F38" s="71"/>
      <c r="G38" s="71"/>
      <c r="H38" s="77"/>
      <c r="I38" s="71"/>
      <c r="J38" s="71"/>
      <c r="K38" s="71"/>
      <c r="L38" s="71"/>
      <c r="M38" s="12"/>
      <c r="Q38" s="12"/>
    </row>
    <row r="39" spans="2:19" ht="15.75" x14ac:dyDescent="0.25">
      <c r="B39" s="73" t="s">
        <v>46</v>
      </c>
      <c r="C39" s="73"/>
      <c r="D39" s="73"/>
      <c r="E39" s="73"/>
      <c r="F39" s="73"/>
      <c r="G39" s="73"/>
      <c r="H39" s="78">
        <f>S6+S7+S8+S9+S10+S11+S14+S15+S18+S19+S20+S21+S24+S25+S28+S29+S30+S31+S32</f>
        <v>4247300</v>
      </c>
      <c r="I39" s="71" t="s">
        <v>47</v>
      </c>
      <c r="J39" s="71" t="s">
        <v>48</v>
      </c>
      <c r="K39" s="79">
        <f>(H39/5)*3</f>
        <v>2548380</v>
      </c>
      <c r="L39" s="80"/>
    </row>
    <row r="40" spans="2:19" ht="15.75" x14ac:dyDescent="0.25">
      <c r="B40" s="73"/>
      <c r="C40" s="73"/>
      <c r="D40" s="73"/>
      <c r="E40" s="73"/>
      <c r="F40" s="73"/>
      <c r="G40" s="73"/>
      <c r="H40" s="81"/>
      <c r="I40" s="71"/>
      <c r="J40" s="71" t="s">
        <v>50</v>
      </c>
      <c r="K40" s="79">
        <f>(H39/5)*2</f>
        <v>1698920</v>
      </c>
    </row>
    <row r="41" spans="2:19" ht="15.75" x14ac:dyDescent="0.25">
      <c r="B41" s="73"/>
      <c r="C41" s="73"/>
      <c r="D41" s="73"/>
      <c r="E41" s="73"/>
      <c r="F41" s="73"/>
      <c r="G41" s="73"/>
      <c r="H41" s="81"/>
      <c r="I41" s="71"/>
      <c r="J41" s="184"/>
      <c r="K41" s="184"/>
      <c r="L41" s="79"/>
    </row>
    <row r="42" spans="2:19" ht="15.75" customHeight="1" x14ac:dyDescent="0.25">
      <c r="B42" s="73" t="s">
        <v>55</v>
      </c>
      <c r="C42" s="73"/>
      <c r="D42" s="73"/>
      <c r="E42" s="73"/>
      <c r="F42" s="73"/>
      <c r="G42" s="73"/>
      <c r="H42" s="78">
        <f>S12+S13+S16+S17+S22+S23+S26+S27</f>
        <v>7478900</v>
      </c>
      <c r="I42" s="71"/>
      <c r="L42" s="12"/>
    </row>
    <row r="43" spans="2:19" ht="15" customHeight="1" x14ac:dyDescent="0.25">
      <c r="B43" s="71"/>
      <c r="C43" s="71"/>
      <c r="D43" s="71"/>
      <c r="H43" s="71"/>
      <c r="I43" s="71"/>
      <c r="L43" s="12"/>
    </row>
    <row r="44" spans="2:19" x14ac:dyDescent="0.25">
      <c r="B44" s="314" t="s">
        <v>64</v>
      </c>
      <c r="C44" s="314"/>
      <c r="D44" s="314"/>
      <c r="E44" s="314"/>
      <c r="F44" s="88">
        <f>S20+S24</f>
        <v>388100</v>
      </c>
      <c r="G44" s="71"/>
      <c r="H44" s="71"/>
      <c r="I44" s="71"/>
    </row>
    <row r="45" spans="2:19" x14ac:dyDescent="0.25">
      <c r="B45" s="314" t="s">
        <v>65</v>
      </c>
      <c r="C45" s="314"/>
      <c r="D45" s="314"/>
      <c r="E45" s="314"/>
      <c r="F45" s="89">
        <f>S6+S11+S12+S13+S16+S17+S22+S23+S26+S27+S28</f>
        <v>7962800</v>
      </c>
      <c r="G45" s="90" t="s">
        <v>66</v>
      </c>
      <c r="H45" s="91">
        <f>S16+S17+S22+S23+S26+S13+S27</f>
        <v>7285800</v>
      </c>
      <c r="I45" s="71"/>
      <c r="J45" s="92"/>
    </row>
    <row r="46" spans="2:19" x14ac:dyDescent="0.25">
      <c r="B46" s="314" t="s">
        <v>67</v>
      </c>
      <c r="C46" s="314"/>
      <c r="D46" s="314"/>
      <c r="E46" s="314"/>
      <c r="F46" s="89">
        <f>S7+S8+S9+S10+S14+S15+S18+S19+S21+S25+S29+S30+S31+S32</f>
        <v>3375300</v>
      </c>
      <c r="G46" s="71"/>
      <c r="H46" s="71"/>
      <c r="I46" s="71"/>
      <c r="J46" s="87"/>
    </row>
    <row r="47" spans="2:19" ht="11.25" customHeight="1" x14ac:dyDescent="0.25">
      <c r="B47" s="71"/>
      <c r="C47" s="71"/>
      <c r="D47" s="71"/>
      <c r="E47" s="71"/>
      <c r="F47" s="71"/>
      <c r="G47" s="71"/>
      <c r="H47" s="93"/>
      <c r="I47" s="71"/>
    </row>
    <row r="48" spans="2:19" ht="21" customHeight="1" x14ac:dyDescent="0.25">
      <c r="B48" s="255" t="s">
        <v>70</v>
      </c>
      <c r="C48" s="255"/>
      <c r="D48" s="255"/>
      <c r="E48" s="255"/>
      <c r="F48" s="255"/>
      <c r="G48" s="255"/>
      <c r="H48" s="255"/>
      <c r="I48" s="255"/>
      <c r="J48" s="255"/>
      <c r="K48" s="255"/>
      <c r="L48" s="255"/>
    </row>
    <row r="49" spans="2:14" ht="20.25" customHeight="1" x14ac:dyDescent="0.25"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</row>
    <row r="50" spans="2:14" ht="15" customHeight="1" x14ac:dyDescent="0.25">
      <c r="B50" s="258" t="s">
        <v>73</v>
      </c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9"/>
    </row>
    <row r="51" spans="2:14" ht="15" customHeight="1" x14ac:dyDescent="0.25">
      <c r="B51" s="258" t="s">
        <v>74</v>
      </c>
      <c r="C51" s="258"/>
      <c r="D51" s="258"/>
      <c r="E51" s="258"/>
      <c r="F51" s="258"/>
      <c r="G51" s="258"/>
      <c r="H51" s="258"/>
      <c r="I51" s="258"/>
      <c r="J51" s="258"/>
      <c r="K51" s="258"/>
      <c r="L51" s="258"/>
    </row>
    <row r="52" spans="2:14" ht="15" customHeight="1" x14ac:dyDescent="0.25"/>
    <row r="53" spans="2:14" ht="24.75" customHeight="1" thickBot="1" x14ac:dyDescent="0.3"/>
    <row r="54" spans="2:14" ht="51.75" customHeight="1" thickBot="1" x14ac:dyDescent="0.3">
      <c r="B54" s="278" t="s">
        <v>75</v>
      </c>
      <c r="C54" s="279"/>
      <c r="D54" s="182" t="s">
        <v>76</v>
      </c>
      <c r="E54" s="94" t="s">
        <v>77</v>
      </c>
      <c r="F54" s="183" t="s">
        <v>78</v>
      </c>
      <c r="G54" s="94" t="s">
        <v>152</v>
      </c>
      <c r="H54" s="169" t="s">
        <v>151</v>
      </c>
      <c r="J54" s="280" t="s">
        <v>79</v>
      </c>
      <c r="K54" s="280"/>
      <c r="L54" s="95">
        <f>N13+N12</f>
        <v>2063584.8948000001</v>
      </c>
    </row>
    <row r="55" spans="2:14" ht="15.75" thickBot="1" x14ac:dyDescent="0.3">
      <c r="B55" s="232" t="s">
        <v>80</v>
      </c>
      <c r="C55" s="233"/>
      <c r="D55" s="96">
        <v>871</v>
      </c>
      <c r="E55" s="97">
        <f>(K40*D55)/D99</f>
        <v>33640.068200418296</v>
      </c>
      <c r="F55" s="98">
        <f>(N58*D55)/N62</f>
        <v>33901.834873260595</v>
      </c>
      <c r="G55" s="97">
        <f>E55+F55</f>
        <v>67541.903073678899</v>
      </c>
      <c r="H55" s="170">
        <v>67500</v>
      </c>
      <c r="J55" s="99" t="s">
        <v>81</v>
      </c>
      <c r="K55" s="99"/>
      <c r="L55" s="100">
        <f>N27</f>
        <v>762466.32000000007</v>
      </c>
    </row>
    <row r="56" spans="2:14" ht="15.75" thickBot="1" x14ac:dyDescent="0.3">
      <c r="B56" s="238" t="s">
        <v>82</v>
      </c>
      <c r="C56" s="238"/>
      <c r="D56" s="101">
        <v>690</v>
      </c>
      <c r="E56" s="102">
        <f>(K40*D56)/D99</f>
        <v>26649.422569791761</v>
      </c>
      <c r="F56" s="103">
        <f>(N60*D56)/N63</f>
        <v>41267.407844776128</v>
      </c>
      <c r="G56" s="102">
        <f>E56+F56</f>
        <v>67916.830414567885</v>
      </c>
      <c r="H56" s="170">
        <v>67900</v>
      </c>
      <c r="J56" s="104" t="s">
        <v>83</v>
      </c>
      <c r="K56" s="104"/>
      <c r="L56" s="105">
        <f>N26</f>
        <v>687825.60000000009</v>
      </c>
    </row>
    <row r="57" spans="2:14" ht="15.75" thickBot="1" x14ac:dyDescent="0.3">
      <c r="B57" s="281" t="s">
        <v>57</v>
      </c>
      <c r="C57" s="282"/>
      <c r="D57" s="96">
        <v>4303</v>
      </c>
      <c r="E57" s="97">
        <f>(K40*D57)/D99</f>
        <v>166191.9787214695</v>
      </c>
      <c r="F57" s="106">
        <f>L56</f>
        <v>687825.60000000009</v>
      </c>
      <c r="G57" s="97">
        <f t="shared" ref="G57:G95" si="2">E57+F57</f>
        <v>854017.57872146962</v>
      </c>
      <c r="H57" s="170">
        <v>166100</v>
      </c>
      <c r="I57" t="s">
        <v>149</v>
      </c>
      <c r="J57" s="283" t="s">
        <v>84</v>
      </c>
      <c r="K57" s="284"/>
      <c r="L57" s="107">
        <f>N17</f>
        <v>829349.42200000014</v>
      </c>
      <c r="M57" s="108" t="s">
        <v>85</v>
      </c>
      <c r="N57" s="109">
        <f>L57*60%</f>
        <v>497609.65320000006</v>
      </c>
    </row>
    <row r="58" spans="2:14" ht="15.75" thickBot="1" x14ac:dyDescent="0.3">
      <c r="B58" s="238" t="s">
        <v>86</v>
      </c>
      <c r="C58" s="238"/>
      <c r="D58" s="101">
        <v>404</v>
      </c>
      <c r="E58" s="102">
        <f>(K40*D58)/D99</f>
        <v>15603.430026370828</v>
      </c>
      <c r="F58" s="103">
        <f>(N60*D58)/N63</f>
        <v>24162.366332303704</v>
      </c>
      <c r="G58" s="102">
        <f t="shared" si="2"/>
        <v>39765.796358674532</v>
      </c>
      <c r="H58" s="170">
        <v>39700</v>
      </c>
      <c r="J58" s="275" t="s">
        <v>87</v>
      </c>
      <c r="K58" s="275"/>
      <c r="L58" s="110">
        <f>N23</f>
        <v>363361.74600000004</v>
      </c>
      <c r="M58" s="111" t="s">
        <v>88</v>
      </c>
      <c r="N58" s="112">
        <f>L57*40%</f>
        <v>331739.76880000008</v>
      </c>
    </row>
    <row r="59" spans="2:14" ht="15.75" thickBot="1" x14ac:dyDescent="0.3">
      <c r="B59" s="232" t="s">
        <v>89</v>
      </c>
      <c r="C59" s="233"/>
      <c r="D59" s="96">
        <v>1485</v>
      </c>
      <c r="E59" s="97">
        <f>(K40*D59)/D99</f>
        <v>57354.192052377919</v>
      </c>
      <c r="F59" s="98">
        <f>(N58*D59)/N62</f>
        <v>57800.487700105608</v>
      </c>
      <c r="G59" s="97">
        <f t="shared" si="2"/>
        <v>115154.67975248353</v>
      </c>
      <c r="H59" s="170">
        <v>115100</v>
      </c>
      <c r="J59" s="276" t="s">
        <v>90</v>
      </c>
      <c r="K59" s="276"/>
      <c r="L59" s="113">
        <f>N22</f>
        <v>2304096.9380000005</v>
      </c>
      <c r="M59" s="108" t="s">
        <v>91</v>
      </c>
      <c r="N59" s="114">
        <f>(L59/5)*3</f>
        <v>1382458.1628000005</v>
      </c>
    </row>
    <row r="60" spans="2:14" ht="15.75" thickBot="1" x14ac:dyDescent="0.3">
      <c r="B60" s="238" t="s">
        <v>92</v>
      </c>
      <c r="C60" s="238"/>
      <c r="D60" s="101">
        <v>1007</v>
      </c>
      <c r="E60" s="102">
        <f>(K40*D60)/D99</f>
        <v>38892.708011275805</v>
      </c>
      <c r="F60" s="103">
        <f>(N60*D60)/N63</f>
        <v>60226.492318390672</v>
      </c>
      <c r="G60" s="102">
        <f t="shared" si="2"/>
        <v>99119.200329666477</v>
      </c>
      <c r="H60" s="170">
        <v>99100</v>
      </c>
      <c r="J60" s="277" t="s">
        <v>93</v>
      </c>
      <c r="K60" s="277"/>
      <c r="L60" s="115">
        <f>N16</f>
        <v>468629.47725000005</v>
      </c>
      <c r="M60" s="111" t="s">
        <v>50</v>
      </c>
      <c r="N60" s="116">
        <f>(L59/5)*2</f>
        <v>921638.77520000027</v>
      </c>
    </row>
    <row r="61" spans="2:14" ht="15.75" thickBot="1" x14ac:dyDescent="0.3">
      <c r="B61" s="232" t="s">
        <v>94</v>
      </c>
      <c r="C61" s="233"/>
      <c r="D61" s="96">
        <v>252</v>
      </c>
      <c r="E61" s="97">
        <f>(K40*D61)/D99</f>
        <v>9732.8325907065555</v>
      </c>
      <c r="F61" s="98">
        <f>(N58*D61)/N62</f>
        <v>9808.5676097148898</v>
      </c>
      <c r="G61" s="97">
        <f>E61+F61</f>
        <v>19541.400200421445</v>
      </c>
      <c r="H61" s="170">
        <v>19500</v>
      </c>
    </row>
    <row r="62" spans="2:14" ht="15.75" thickBot="1" x14ac:dyDescent="0.3">
      <c r="B62" s="245" t="s">
        <v>95</v>
      </c>
      <c r="C62" s="245"/>
      <c r="D62" s="101">
        <v>2167</v>
      </c>
      <c r="E62" s="102">
        <f>(K40*D62)/D99</f>
        <v>83694.635809766303</v>
      </c>
      <c r="F62" s="117">
        <f>(L60*D62)/L64</f>
        <v>192369.78162544992</v>
      </c>
      <c r="G62" s="102">
        <f>E62+F62</f>
        <v>276064.41743521625</v>
      </c>
      <c r="H62" s="170">
        <v>276000</v>
      </c>
      <c r="J62" s="118" t="s">
        <v>96</v>
      </c>
      <c r="K62" s="118"/>
      <c r="L62" s="119">
        <f>D55+D59+D61+D68+D71+D72+D73+D75+D85+D87+D92+D94+D93+D74</f>
        <v>11017</v>
      </c>
      <c r="M62" s="120" t="s">
        <v>97</v>
      </c>
      <c r="N62" s="121">
        <f>L62-D93</f>
        <v>8523</v>
      </c>
    </row>
    <row r="63" spans="2:14" ht="15.75" thickBot="1" x14ac:dyDescent="0.3">
      <c r="B63" s="235" t="s">
        <v>98</v>
      </c>
      <c r="C63" s="236"/>
      <c r="D63" s="96">
        <v>413</v>
      </c>
      <c r="E63" s="97">
        <f>(K40*D63)/D99</f>
        <v>15951.031190324635</v>
      </c>
      <c r="F63" s="122">
        <f>(N60*D63)/N63</f>
        <v>24700.636869409482</v>
      </c>
      <c r="G63" s="97">
        <f t="shared" si="2"/>
        <v>40651.668059734118</v>
      </c>
      <c r="H63" s="170">
        <v>40600</v>
      </c>
      <c r="J63" s="123" t="s">
        <v>99</v>
      </c>
      <c r="K63" s="123"/>
      <c r="L63" s="124">
        <f>D56+D58+D60+D63+D64+D65+D66+D67+D69+D70+D76+D77+D78+D82+D84+D86+D88+D90+D91+D95+D97</f>
        <v>26259</v>
      </c>
      <c r="M63" s="125" t="s">
        <v>100</v>
      </c>
      <c r="N63" s="125">
        <f>L63-D97</f>
        <v>15410</v>
      </c>
    </row>
    <row r="64" spans="2:14" ht="15.75" thickBot="1" x14ac:dyDescent="0.3">
      <c r="B64" s="238" t="s">
        <v>101</v>
      </c>
      <c r="C64" s="238"/>
      <c r="D64" s="101">
        <v>707</v>
      </c>
      <c r="E64" s="102">
        <f>(K40*D64)/D99</f>
        <v>27306.002546148949</v>
      </c>
      <c r="F64" s="103">
        <f>(N60*D64)/N63</f>
        <v>42284.141081531481</v>
      </c>
      <c r="G64" s="102">
        <f t="shared" si="2"/>
        <v>69590.143627680431</v>
      </c>
      <c r="H64" s="170">
        <v>69500</v>
      </c>
      <c r="J64" s="126" t="s">
        <v>102</v>
      </c>
      <c r="K64" s="126"/>
      <c r="L64" s="127">
        <f>D62+D79+D80+D83</f>
        <v>5279</v>
      </c>
    </row>
    <row r="65" spans="1:12" ht="15.75" thickBot="1" x14ac:dyDescent="0.3">
      <c r="B65" s="235" t="s">
        <v>103</v>
      </c>
      <c r="C65" s="236"/>
      <c r="D65" s="96">
        <v>247</v>
      </c>
      <c r="E65" s="97">
        <f>(K40*D65)/D99</f>
        <v>9539.7208329544428</v>
      </c>
      <c r="F65" s="122">
        <f>(N60*D65)/N63</f>
        <v>14772.535851680732</v>
      </c>
      <c r="G65" s="97">
        <f t="shared" si="2"/>
        <v>24312.256684635176</v>
      </c>
      <c r="H65" s="170">
        <v>24300</v>
      </c>
      <c r="J65" s="128" t="s">
        <v>104</v>
      </c>
      <c r="K65" s="128"/>
      <c r="L65" s="84">
        <f>D57</f>
        <v>4303</v>
      </c>
    </row>
    <row r="66" spans="1:12" ht="15.75" thickBot="1" x14ac:dyDescent="0.3">
      <c r="B66" s="238" t="s">
        <v>105</v>
      </c>
      <c r="C66" s="238"/>
      <c r="D66" s="101">
        <v>901</v>
      </c>
      <c r="E66" s="102">
        <f>(K40*D66)/D99</f>
        <v>34798.738746930983</v>
      </c>
      <c r="F66" s="103">
        <f>(N60*D66)/N63</f>
        <v>53886.861548033754</v>
      </c>
      <c r="G66" s="102">
        <f t="shared" si="2"/>
        <v>88685.600294964737</v>
      </c>
      <c r="H66" s="170">
        <v>88600</v>
      </c>
      <c r="J66" s="129" t="s">
        <v>106</v>
      </c>
      <c r="K66" s="129"/>
      <c r="L66" s="85">
        <f>D81</f>
        <v>3466</v>
      </c>
    </row>
    <row r="67" spans="1:12" ht="15.75" thickBot="1" x14ac:dyDescent="0.3">
      <c r="B67" s="235" t="s">
        <v>107</v>
      </c>
      <c r="C67" s="236"/>
      <c r="D67" s="96">
        <v>170</v>
      </c>
      <c r="E67" s="97">
        <f>(K40*D67)/D99</f>
        <v>6565.799763571883</v>
      </c>
      <c r="F67" s="122">
        <f>(N60*D67)/N63</f>
        <v>10167.332367553539</v>
      </c>
      <c r="G67" s="97">
        <f t="shared" si="2"/>
        <v>16733.132131125421</v>
      </c>
      <c r="H67" s="170">
        <v>16700</v>
      </c>
      <c r="J67" s="130" t="s">
        <v>108</v>
      </c>
      <c r="K67" s="130"/>
      <c r="L67" s="86">
        <f>D89</f>
        <v>4513</v>
      </c>
    </row>
    <row r="68" spans="1:12" ht="15.75" thickBot="1" x14ac:dyDescent="0.3">
      <c r="B68" s="234" t="s">
        <v>109</v>
      </c>
      <c r="C68" s="234"/>
      <c r="D68" s="101">
        <v>830</v>
      </c>
      <c r="E68" s="102">
        <f>(K40*D68)/D99</f>
        <v>32056.55178685096</v>
      </c>
      <c r="F68" s="131">
        <f>(N58*D68)/N62</f>
        <v>32305.996492314924</v>
      </c>
      <c r="G68" s="102">
        <f t="shared" si="2"/>
        <v>64362.548279165887</v>
      </c>
      <c r="H68" s="170">
        <v>64300</v>
      </c>
    </row>
    <row r="69" spans="1:12" ht="15.75" thickBot="1" x14ac:dyDescent="0.3">
      <c r="B69" s="235" t="s">
        <v>110</v>
      </c>
      <c r="C69" s="236"/>
      <c r="D69" s="96">
        <v>1876</v>
      </c>
      <c r="E69" s="97">
        <f>(K40*D69)/D99</f>
        <v>72455.531508593253</v>
      </c>
      <c r="F69" s="122">
        <f>(N60*D69)/N63</f>
        <v>112199.50306782612</v>
      </c>
      <c r="G69" s="97">
        <f t="shared" si="2"/>
        <v>184655.03457641939</v>
      </c>
      <c r="H69" s="170">
        <v>184600</v>
      </c>
    </row>
    <row r="70" spans="1:12" ht="15.75" thickBot="1" x14ac:dyDescent="0.3">
      <c r="B70" s="238" t="s">
        <v>111</v>
      </c>
      <c r="C70" s="238"/>
      <c r="D70" s="101">
        <v>729</v>
      </c>
      <c r="E70" s="102">
        <f>(K40*D70)/D99</f>
        <v>28155.694280258253</v>
      </c>
      <c r="F70" s="103">
        <f>(N60*D70)/N63</f>
        <v>43599.91350556782</v>
      </c>
      <c r="G70" s="102">
        <f t="shared" si="2"/>
        <v>71755.607785826069</v>
      </c>
      <c r="H70" s="170">
        <v>71700</v>
      </c>
    </row>
    <row r="71" spans="1:12" ht="15.75" thickBot="1" x14ac:dyDescent="0.3">
      <c r="B71" s="232" t="s">
        <v>112</v>
      </c>
      <c r="C71" s="233"/>
      <c r="D71" s="96">
        <v>309</v>
      </c>
      <c r="E71" s="97">
        <f>(K40*D71)/D99</f>
        <v>11934.306629080658</v>
      </c>
      <c r="F71" s="98">
        <f>(N58*D71)/N62</f>
        <v>12027.172188102782</v>
      </c>
      <c r="G71" s="97">
        <f>E71+F71</f>
        <v>23961.478817183441</v>
      </c>
      <c r="H71" s="170">
        <v>23900</v>
      </c>
      <c r="J71" s="292" t="s">
        <v>49</v>
      </c>
      <c r="K71" s="292"/>
    </row>
    <row r="72" spans="1:12" ht="15.75" thickBot="1" x14ac:dyDescent="0.3">
      <c r="B72" s="233" t="s">
        <v>113</v>
      </c>
      <c r="C72" s="233"/>
      <c r="D72" s="101">
        <v>860</v>
      </c>
      <c r="E72" s="102">
        <f>(K40*D72)/D99</f>
        <v>33215.222333363643</v>
      </c>
      <c r="F72" s="131">
        <f>(N58*D72)/N62</f>
        <v>33473.683112519073</v>
      </c>
      <c r="G72" s="102">
        <f t="shared" si="2"/>
        <v>66688.905445882716</v>
      </c>
      <c r="H72" s="170">
        <v>66600</v>
      </c>
      <c r="J72" s="82" t="s">
        <v>51</v>
      </c>
      <c r="K72" s="82" t="s">
        <v>52</v>
      </c>
      <c r="L72" s="82"/>
    </row>
    <row r="73" spans="1:12" ht="15.75" thickBot="1" x14ac:dyDescent="0.3">
      <c r="B73" s="232" t="s">
        <v>114</v>
      </c>
      <c r="C73" s="233"/>
      <c r="D73" s="96">
        <v>345</v>
      </c>
      <c r="E73" s="97">
        <f>(K40*D73)/D99</f>
        <v>13324.71128489588</v>
      </c>
      <c r="F73" s="98">
        <f>(N58*D73)/N62</f>
        <v>13428.396132347769</v>
      </c>
      <c r="G73" s="97">
        <f t="shared" si="2"/>
        <v>26753.107417243649</v>
      </c>
      <c r="H73" s="170">
        <v>26700</v>
      </c>
      <c r="J73" s="83" t="s">
        <v>53</v>
      </c>
      <c r="K73" s="293" t="s">
        <v>54</v>
      </c>
      <c r="L73" s="294"/>
    </row>
    <row r="74" spans="1:12" ht="15.75" thickBot="1" x14ac:dyDescent="0.3">
      <c r="A74" s="132"/>
      <c r="B74" s="232" t="s">
        <v>115</v>
      </c>
      <c r="C74" s="233"/>
      <c r="D74" s="101">
        <v>477</v>
      </c>
      <c r="E74" s="102">
        <f>(K40*D74)/D99</f>
        <v>18422.861689551697</v>
      </c>
      <c r="F74" s="98">
        <f>(N58*D74)/N62</f>
        <v>18566.217261246045</v>
      </c>
      <c r="G74" s="102">
        <f>E74+F74</f>
        <v>36989.078950797746</v>
      </c>
      <c r="H74" s="170">
        <v>36900</v>
      </c>
      <c r="J74" s="84" t="s">
        <v>56</v>
      </c>
      <c r="K74" s="260" t="s">
        <v>57</v>
      </c>
      <c r="L74" s="261"/>
    </row>
    <row r="75" spans="1:12" ht="15.75" thickBot="1" x14ac:dyDescent="0.3">
      <c r="A75" s="132"/>
      <c r="B75" s="232" t="s">
        <v>116</v>
      </c>
      <c r="C75" s="233"/>
      <c r="D75" s="96">
        <v>223</v>
      </c>
      <c r="E75" s="97">
        <f>(K40*D75)/D99</f>
        <v>8612.7843957442947</v>
      </c>
      <c r="F75" s="98">
        <f>(N58*D75)/N62</f>
        <v>8679.8038768508777</v>
      </c>
      <c r="G75" s="97">
        <f t="shared" si="2"/>
        <v>17292.588272595174</v>
      </c>
      <c r="H75" s="170">
        <v>17200</v>
      </c>
      <c r="J75" s="85" t="s">
        <v>58</v>
      </c>
      <c r="K75" s="262" t="s">
        <v>59</v>
      </c>
      <c r="L75" s="263"/>
    </row>
    <row r="76" spans="1:12" ht="15.75" thickBot="1" x14ac:dyDescent="0.3">
      <c r="B76" s="238" t="s">
        <v>117</v>
      </c>
      <c r="C76" s="238"/>
      <c r="D76" s="101">
        <v>148</v>
      </c>
      <c r="E76" s="102">
        <f>(K40*D76)/D99</f>
        <v>5716.1080294625808</v>
      </c>
      <c r="F76" s="103">
        <f>(N60*D76)/N63</f>
        <v>8851.5599435171989</v>
      </c>
      <c r="G76" s="102">
        <f t="shared" si="2"/>
        <v>14567.66797297978</v>
      </c>
      <c r="H76" s="170">
        <v>14500</v>
      </c>
      <c r="J76" s="86" t="s">
        <v>60</v>
      </c>
      <c r="K76" s="264" t="s">
        <v>61</v>
      </c>
      <c r="L76" s="265"/>
    </row>
    <row r="77" spans="1:12" ht="15.75" thickBot="1" x14ac:dyDescent="0.3">
      <c r="B77" s="235" t="s">
        <v>118</v>
      </c>
      <c r="C77" s="236"/>
      <c r="D77" s="96">
        <v>518</v>
      </c>
      <c r="E77" s="97">
        <f>(K40*D77)/D99</f>
        <v>20006.378103119034</v>
      </c>
      <c r="F77" s="122">
        <f>(N60*D77)/N63</f>
        <v>30980.459802310197</v>
      </c>
      <c r="G77" s="97">
        <f t="shared" si="2"/>
        <v>50986.837905429231</v>
      </c>
      <c r="H77" s="170">
        <v>50900</v>
      </c>
      <c r="J77" s="266" t="s">
        <v>62</v>
      </c>
      <c r="K77" s="269" t="s">
        <v>63</v>
      </c>
      <c r="L77" s="270"/>
    </row>
    <row r="78" spans="1:12" ht="15.75" thickBot="1" x14ac:dyDescent="0.3">
      <c r="B78" s="238" t="s">
        <v>119</v>
      </c>
      <c r="C78" s="238"/>
      <c r="D78" s="101">
        <v>831</v>
      </c>
      <c r="E78" s="102">
        <f>(K40*D78)/D99</f>
        <v>32095.174138401384</v>
      </c>
      <c r="F78" s="103">
        <f>(N60*D78)/N63</f>
        <v>49700.312926099949</v>
      </c>
      <c r="G78" s="102">
        <f t="shared" si="2"/>
        <v>81795.487064501329</v>
      </c>
      <c r="H78" s="170">
        <v>81700</v>
      </c>
      <c r="J78" s="267"/>
      <c r="K78" s="271"/>
      <c r="L78" s="272"/>
    </row>
    <row r="79" spans="1:12" ht="15.75" thickBot="1" x14ac:dyDescent="0.3">
      <c r="B79" s="243" t="s">
        <v>120</v>
      </c>
      <c r="C79" s="244"/>
      <c r="D79" s="96">
        <v>356</v>
      </c>
      <c r="E79" s="97">
        <f>(K40*D79)/D99</f>
        <v>13749.557151950532</v>
      </c>
      <c r="F79" s="133">
        <f>(L60*D79)/L64</f>
        <v>31602.972892782727</v>
      </c>
      <c r="G79" s="97">
        <f t="shared" si="2"/>
        <v>45352.530044733256</v>
      </c>
      <c r="H79" s="170">
        <v>45300</v>
      </c>
      <c r="J79" s="267"/>
      <c r="K79" s="271"/>
      <c r="L79" s="272"/>
    </row>
    <row r="80" spans="1:12" ht="15.75" thickBot="1" x14ac:dyDescent="0.3">
      <c r="B80" s="245" t="s">
        <v>121</v>
      </c>
      <c r="C80" s="245"/>
      <c r="D80" s="101">
        <v>602</v>
      </c>
      <c r="E80" s="102">
        <f>(K40*D80)/D99</f>
        <v>23250.655633354552</v>
      </c>
      <c r="F80" s="117">
        <f>(L60*D80)/L64</f>
        <v>53440.982251278656</v>
      </c>
      <c r="G80" s="102">
        <f t="shared" si="2"/>
        <v>76691.637884633208</v>
      </c>
      <c r="H80" s="170">
        <v>76600</v>
      </c>
      <c r="J80" s="267"/>
      <c r="K80" s="271"/>
      <c r="L80" s="272"/>
    </row>
    <row r="81" spans="2:12" ht="15.75" thickBot="1" x14ac:dyDescent="0.3">
      <c r="B81" s="246" t="s">
        <v>59</v>
      </c>
      <c r="C81" s="247"/>
      <c r="D81" s="96">
        <v>3466</v>
      </c>
      <c r="E81" s="97">
        <f>(K40*D81)/D99</f>
        <v>133865.07047376558</v>
      </c>
      <c r="F81" s="134">
        <f>L58</f>
        <v>363361.74600000004</v>
      </c>
      <c r="G81" s="97">
        <f t="shared" si="2"/>
        <v>497226.81647376565</v>
      </c>
      <c r="H81" s="170">
        <v>133800</v>
      </c>
      <c r="I81" t="s">
        <v>149</v>
      </c>
      <c r="J81" s="267"/>
      <c r="K81" s="271"/>
      <c r="L81" s="272"/>
    </row>
    <row r="82" spans="2:12" ht="15.75" thickBot="1" x14ac:dyDescent="0.3">
      <c r="B82" s="248" t="s">
        <v>122</v>
      </c>
      <c r="C82" s="248"/>
      <c r="D82" s="101">
        <v>338</v>
      </c>
      <c r="E82" s="102">
        <f>(K40*D82)/D99</f>
        <v>13054.354824042921</v>
      </c>
      <c r="F82" s="103">
        <f>(N60*D82)/N63</f>
        <v>20215.049060194688</v>
      </c>
      <c r="G82" s="102">
        <f t="shared" si="2"/>
        <v>33269.40388423761</v>
      </c>
      <c r="H82" s="170">
        <v>33200</v>
      </c>
      <c r="J82" s="267"/>
      <c r="K82" s="271"/>
      <c r="L82" s="272"/>
    </row>
    <row r="83" spans="2:12" ht="15.75" thickBot="1" x14ac:dyDescent="0.3">
      <c r="B83" s="243" t="s">
        <v>123</v>
      </c>
      <c r="C83" s="244"/>
      <c r="D83" s="96">
        <v>2154</v>
      </c>
      <c r="E83" s="97">
        <f>(K40*D83)/D99</f>
        <v>83192.545239610801</v>
      </c>
      <c r="F83" s="133">
        <f>(L60*D83)/L64</f>
        <v>191215.74048048875</v>
      </c>
      <c r="G83" s="97">
        <f t="shared" si="2"/>
        <v>274408.28572009958</v>
      </c>
      <c r="H83" s="170">
        <v>274400</v>
      </c>
      <c r="J83" s="268"/>
      <c r="K83" s="273"/>
      <c r="L83" s="274"/>
    </row>
    <row r="84" spans="2:12" ht="15.75" thickBot="1" x14ac:dyDescent="0.3">
      <c r="B84" s="238" t="s">
        <v>124</v>
      </c>
      <c r="C84" s="238"/>
      <c r="D84" s="101">
        <v>920</v>
      </c>
      <c r="E84" s="102">
        <f>(K40*D84)/D99</f>
        <v>35532.563426389017</v>
      </c>
      <c r="F84" s="103">
        <f>(N60*D84)/N63</f>
        <v>55023.210459701506</v>
      </c>
      <c r="G84" s="102">
        <f t="shared" si="2"/>
        <v>90555.773886090523</v>
      </c>
      <c r="H84" s="170">
        <v>90500</v>
      </c>
      <c r="J84" s="249" t="s">
        <v>68</v>
      </c>
      <c r="K84" s="251" t="s">
        <v>69</v>
      </c>
      <c r="L84" s="252"/>
    </row>
    <row r="85" spans="2:12" ht="15.75" thickBot="1" x14ac:dyDescent="0.3">
      <c r="B85" s="232" t="s">
        <v>125</v>
      </c>
      <c r="C85" s="233"/>
      <c r="D85" s="96">
        <v>758</v>
      </c>
      <c r="E85" s="97">
        <f>(K40*D85)/D99</f>
        <v>29275.742475220515</v>
      </c>
      <c r="F85" s="98">
        <f>(N58*D85)/N62</f>
        <v>29503.548603824951</v>
      </c>
      <c r="G85" s="97">
        <f t="shared" si="2"/>
        <v>58779.291079045463</v>
      </c>
      <c r="H85" s="170">
        <v>58700</v>
      </c>
      <c r="J85" s="250"/>
      <c r="K85" s="253"/>
      <c r="L85" s="254"/>
    </row>
    <row r="86" spans="2:12" ht="15.75" thickBot="1" x14ac:dyDescent="0.3">
      <c r="B86" s="238" t="s">
        <v>126</v>
      </c>
      <c r="C86" s="238"/>
      <c r="D86" s="101">
        <v>2152</v>
      </c>
      <c r="E86" s="102">
        <f>(K40*D86)/D99</f>
        <v>83115.300536509953</v>
      </c>
      <c r="F86" s="103">
        <f>(N60*D86)/N63</f>
        <v>128706.46620573656</v>
      </c>
      <c r="G86" s="102">
        <f t="shared" si="2"/>
        <v>211821.76674224652</v>
      </c>
      <c r="H86" s="170">
        <v>211800</v>
      </c>
      <c r="J86" s="256" t="s">
        <v>71</v>
      </c>
      <c r="K86" s="257" t="s">
        <v>72</v>
      </c>
      <c r="L86" s="257"/>
    </row>
    <row r="87" spans="2:12" ht="15.75" thickBot="1" x14ac:dyDescent="0.3">
      <c r="B87" s="232" t="s">
        <v>127</v>
      </c>
      <c r="C87" s="233"/>
      <c r="D87" s="96">
        <v>495</v>
      </c>
      <c r="E87" s="97">
        <f>(K40*D87)/D99</f>
        <v>19118.064017459306</v>
      </c>
      <c r="F87" s="98">
        <f>(N58*D87)/N62</f>
        <v>19266.829233368535</v>
      </c>
      <c r="G87" s="97">
        <f t="shared" si="2"/>
        <v>38384.893250827838</v>
      </c>
      <c r="H87" s="170">
        <v>38300</v>
      </c>
      <c r="J87" s="256"/>
      <c r="K87" s="257"/>
      <c r="L87" s="257"/>
    </row>
    <row r="88" spans="2:12" ht="15.75" thickBot="1" x14ac:dyDescent="0.3">
      <c r="B88" s="238" t="s">
        <v>128</v>
      </c>
      <c r="C88" s="238"/>
      <c r="D88" s="101">
        <v>1042</v>
      </c>
      <c r="E88" s="102">
        <f>(K40*D88)/D99</f>
        <v>40244.490315540599</v>
      </c>
      <c r="F88" s="103">
        <f>(N60*D88)/N63</f>
        <v>62319.766629357582</v>
      </c>
      <c r="G88" s="102">
        <f t="shared" si="2"/>
        <v>102564.25694489818</v>
      </c>
      <c r="H88" s="170">
        <v>102500</v>
      </c>
      <c r="J88" s="256"/>
      <c r="K88" s="257"/>
      <c r="L88" s="257"/>
    </row>
    <row r="89" spans="2:12" ht="15.75" thickBot="1" x14ac:dyDescent="0.3">
      <c r="B89" s="239" t="s">
        <v>61</v>
      </c>
      <c r="C89" s="240"/>
      <c r="D89" s="96">
        <v>4513</v>
      </c>
      <c r="E89" s="97">
        <f>(K40*D89)/D99</f>
        <v>174302.67254705829</v>
      </c>
      <c r="F89" s="135">
        <f>L55</f>
        <v>762466.32000000007</v>
      </c>
      <c r="G89" s="97">
        <f t="shared" si="2"/>
        <v>936768.99254705838</v>
      </c>
      <c r="H89" s="170">
        <v>174300</v>
      </c>
      <c r="I89" t="s">
        <v>149</v>
      </c>
      <c r="J89" s="256"/>
      <c r="K89" s="257"/>
      <c r="L89" s="257"/>
    </row>
    <row r="90" spans="2:12" ht="15.75" thickBot="1" x14ac:dyDescent="0.3">
      <c r="B90" s="238" t="s">
        <v>129</v>
      </c>
      <c r="C90" s="238"/>
      <c r="D90" s="101">
        <v>579</v>
      </c>
      <c r="E90" s="102">
        <f>(K40*D90)/D99</f>
        <v>22362.341547694825</v>
      </c>
      <c r="F90" s="103">
        <f>(N60*D90)/N63</f>
        <v>34628.737887138232</v>
      </c>
      <c r="G90" s="102">
        <f t="shared" si="2"/>
        <v>56991.079434833053</v>
      </c>
      <c r="H90" s="170">
        <v>56900</v>
      </c>
      <c r="J90" s="256"/>
      <c r="K90" s="257"/>
      <c r="L90" s="257"/>
    </row>
    <row r="91" spans="2:12" ht="15.75" thickBot="1" x14ac:dyDescent="0.3">
      <c r="B91" s="241" t="s">
        <v>130</v>
      </c>
      <c r="C91" s="242"/>
      <c r="D91" s="96">
        <v>736</v>
      </c>
      <c r="E91" s="97">
        <f>(K40*D91)/D99</f>
        <v>28426.050741111212</v>
      </c>
      <c r="F91" s="122">
        <f>(N60*D91)/N63</f>
        <v>44018.568367761211</v>
      </c>
      <c r="G91" s="97">
        <f t="shared" si="2"/>
        <v>72444.61910887243</v>
      </c>
      <c r="H91" s="170">
        <v>72400</v>
      </c>
    </row>
    <row r="92" spans="2:12" ht="15.75" thickBot="1" x14ac:dyDescent="0.3">
      <c r="B92" s="234" t="s">
        <v>131</v>
      </c>
      <c r="C92" s="234"/>
      <c r="D92" s="101">
        <v>1110</v>
      </c>
      <c r="E92" s="102">
        <f>(K40*D92)/D99</f>
        <v>42870.810220969353</v>
      </c>
      <c r="F92" s="131">
        <f>(N58*D92)/N62</f>
        <v>43204.404947553689</v>
      </c>
      <c r="G92" s="102">
        <f t="shared" si="2"/>
        <v>86075.215168523049</v>
      </c>
      <c r="H92" s="170">
        <v>86000</v>
      </c>
    </row>
    <row r="93" spans="2:12" ht="15.75" thickBot="1" x14ac:dyDescent="0.3">
      <c r="B93" s="232" t="s">
        <v>132</v>
      </c>
      <c r="C93" s="233"/>
      <c r="D93" s="96">
        <v>2494</v>
      </c>
      <c r="E93" s="97">
        <f>(K40*D93)/D99</f>
        <v>96324.144766754573</v>
      </c>
      <c r="F93" s="98">
        <f>N57</f>
        <v>497609.65320000006</v>
      </c>
      <c r="G93" s="97">
        <f t="shared" si="2"/>
        <v>593933.79796675465</v>
      </c>
      <c r="H93" s="170">
        <v>593900</v>
      </c>
    </row>
    <row r="94" spans="2:12" ht="15.75" thickBot="1" x14ac:dyDescent="0.3">
      <c r="B94" s="234" t="s">
        <v>133</v>
      </c>
      <c r="C94" s="234"/>
      <c r="D94" s="101">
        <v>508</v>
      </c>
      <c r="E94" s="102">
        <f>(K40*D94)/D99</f>
        <v>19620.154587614805</v>
      </c>
      <c r="F94" s="131">
        <f>(N58*D94)/N62</f>
        <v>19772.826768790339</v>
      </c>
      <c r="G94" s="102">
        <f t="shared" si="2"/>
        <v>39392.981356405144</v>
      </c>
      <c r="H94" s="170">
        <v>39300</v>
      </c>
    </row>
    <row r="95" spans="2:12" ht="15.75" thickBot="1" x14ac:dyDescent="0.3">
      <c r="B95" s="235" t="s">
        <v>134</v>
      </c>
      <c r="C95" s="236"/>
      <c r="D95" s="96">
        <v>1002</v>
      </c>
      <c r="E95" s="97">
        <f>(K40*D95)/D99</f>
        <v>38699.59625352369</v>
      </c>
      <c r="F95" s="122">
        <f>(N60*D95)/N63</f>
        <v>59927.453131109687</v>
      </c>
      <c r="G95" s="97">
        <f t="shared" si="2"/>
        <v>98627.04938463337</v>
      </c>
      <c r="H95" s="170">
        <v>98600</v>
      </c>
      <c r="K95" s="12"/>
    </row>
    <row r="96" spans="2:12" s="137" customFormat="1" ht="27.75" customHeight="1" thickBot="1" x14ac:dyDescent="0.3">
      <c r="B96" s="237" t="s">
        <v>135</v>
      </c>
      <c r="C96" s="237"/>
      <c r="D96" s="101"/>
      <c r="E96" s="136">
        <f>SUM(E55:E95)</f>
        <v>1698920</v>
      </c>
      <c r="F96" s="136">
        <f>SUM(F55:F95)</f>
        <v>4033271.3404500005</v>
      </c>
      <c r="G96" s="136">
        <f>SUM(G55:G95)</f>
        <v>5732191.34045</v>
      </c>
      <c r="H96" s="193">
        <f>SUM(H55:H95)</f>
        <v>3916100</v>
      </c>
      <c r="J96" s="194"/>
      <c r="K96" s="139"/>
    </row>
    <row r="97" spans="2:13" x14ac:dyDescent="0.25">
      <c r="B97" s="220" t="s">
        <v>54</v>
      </c>
      <c r="C97" s="221"/>
      <c r="D97" s="224">
        <v>10849</v>
      </c>
      <c r="E97" s="226">
        <f>K39</f>
        <v>2548380</v>
      </c>
      <c r="F97" s="140">
        <f>N59</f>
        <v>1382458.1628000005</v>
      </c>
      <c r="G97" s="228">
        <f>E97+F97+F98</f>
        <v>5994423.0576000009</v>
      </c>
      <c r="H97" s="230"/>
      <c r="J97" s="138"/>
      <c r="K97" s="138"/>
    </row>
    <row r="98" spans="2:13" ht="15.75" thickBot="1" x14ac:dyDescent="0.3">
      <c r="B98" s="222"/>
      <c r="C98" s="223"/>
      <c r="D98" s="225"/>
      <c r="E98" s="227"/>
      <c r="F98" s="141">
        <f>L54</f>
        <v>2063584.8948000001</v>
      </c>
      <c r="G98" s="229"/>
      <c r="H98" s="230"/>
      <c r="J98" s="138"/>
      <c r="K98" s="142"/>
      <c r="L98" s="231"/>
      <c r="M98" s="206"/>
    </row>
    <row r="99" spans="2:13" x14ac:dyDescent="0.25">
      <c r="B99" s="207" t="s">
        <v>136</v>
      </c>
      <c r="C99" s="207"/>
      <c r="D99" s="143">
        <f>SUM(D55:D95)</f>
        <v>43988</v>
      </c>
      <c r="E99" s="185" t="s">
        <v>137</v>
      </c>
      <c r="F99" s="185" t="s">
        <v>137</v>
      </c>
      <c r="G99" s="185" t="s">
        <v>137</v>
      </c>
      <c r="H99" s="144"/>
      <c r="J99" s="145"/>
      <c r="K99" s="142"/>
      <c r="L99" s="231"/>
      <c r="M99" s="206"/>
    </row>
    <row r="100" spans="2:13" x14ac:dyDescent="0.25">
      <c r="E100" s="146">
        <f>SUM(E55:E95)+E97</f>
        <v>4247300</v>
      </c>
      <c r="F100" s="146">
        <f>SUM(F55:F95)+F97+F98</f>
        <v>7479314.3980500009</v>
      </c>
      <c r="G100" s="147">
        <f>SUM(G55:G95)+G97</f>
        <v>11726614.398050001</v>
      </c>
    </row>
    <row r="101" spans="2:13" ht="15.75" thickBot="1" x14ac:dyDescent="0.3">
      <c r="K101" s="12"/>
    </row>
    <row r="102" spans="2:13" ht="15.75" thickBot="1" x14ac:dyDescent="0.3">
      <c r="E102" s="148">
        <v>2024</v>
      </c>
      <c r="K102" s="12"/>
    </row>
    <row r="103" spans="2:13" ht="15.75" x14ac:dyDescent="0.25">
      <c r="B103" s="208" t="s">
        <v>138</v>
      </c>
      <c r="C103" s="209"/>
      <c r="D103" s="210"/>
      <c r="E103" s="173">
        <f>H36</f>
        <v>11726200</v>
      </c>
      <c r="F103" s="171"/>
      <c r="G103" s="168"/>
      <c r="H103" s="172"/>
    </row>
    <row r="104" spans="2:13" ht="33" customHeight="1" thickBot="1" x14ac:dyDescent="0.3">
      <c r="B104" s="211"/>
      <c r="C104" s="212"/>
      <c r="D104" s="213"/>
      <c r="E104" s="174" t="s">
        <v>140</v>
      </c>
      <c r="F104" s="171"/>
      <c r="G104" s="168"/>
      <c r="H104" s="172"/>
      <c r="I104" s="168"/>
    </row>
    <row r="105" spans="2:13" ht="16.5" thickBot="1" x14ac:dyDescent="0.3">
      <c r="B105" s="214" t="s">
        <v>141</v>
      </c>
      <c r="C105" s="215"/>
      <c r="D105" s="216"/>
      <c r="E105" s="176">
        <f>H96</f>
        <v>3916100</v>
      </c>
      <c r="F105" s="195" t="s">
        <v>139</v>
      </c>
      <c r="G105" s="196" t="s">
        <v>158</v>
      </c>
      <c r="H105" s="190">
        <f>E105-3587300</f>
        <v>328800</v>
      </c>
      <c r="J105" s="12"/>
      <c r="K105" s="12"/>
    </row>
    <row r="106" spans="2:13" ht="16.5" thickBot="1" x14ac:dyDescent="0.3">
      <c r="B106" s="217" t="s">
        <v>142</v>
      </c>
      <c r="C106" s="218"/>
      <c r="D106" s="219"/>
      <c r="E106" s="175">
        <f>S35</f>
        <v>6766500</v>
      </c>
      <c r="F106" s="188" t="s">
        <v>139</v>
      </c>
      <c r="G106" s="141" t="s">
        <v>158</v>
      </c>
      <c r="H106" s="189">
        <f>E106-6248900</f>
        <v>517600</v>
      </c>
      <c r="J106" s="12"/>
    </row>
    <row r="107" spans="2:13" ht="16.5" thickBot="1" x14ac:dyDescent="0.3">
      <c r="B107" s="217" t="s">
        <v>143</v>
      </c>
      <c r="C107" s="218"/>
      <c r="D107" s="219"/>
      <c r="E107" s="175">
        <f>Q35</f>
        <v>3146200</v>
      </c>
      <c r="F107" s="197"/>
      <c r="G107" s="198"/>
      <c r="H107" s="187"/>
      <c r="J107" s="12"/>
    </row>
    <row r="108" spans="2:13" x14ac:dyDescent="0.25">
      <c r="K108" s="80"/>
    </row>
  </sheetData>
  <mergeCells count="133">
    <mergeCell ref="B2:J2"/>
    <mergeCell ref="B4:E5"/>
    <mergeCell ref="F4:H5"/>
    <mergeCell ref="I4:I5"/>
    <mergeCell ref="J4:J5"/>
    <mergeCell ref="K4:K5"/>
    <mergeCell ref="S4:S5"/>
    <mergeCell ref="R4:R5"/>
    <mergeCell ref="B6:E6"/>
    <mergeCell ref="F6:H6"/>
    <mergeCell ref="B7:E8"/>
    <mergeCell ref="F7:H7"/>
    <mergeCell ref="F8:H8"/>
    <mergeCell ref="L4:L5"/>
    <mergeCell ref="M4:M5"/>
    <mergeCell ref="N4:N5"/>
    <mergeCell ref="O4:O5"/>
    <mergeCell ref="P4:P5"/>
    <mergeCell ref="Q4:Q5"/>
    <mergeCell ref="B14:E17"/>
    <mergeCell ref="F14:H14"/>
    <mergeCell ref="F15:H15"/>
    <mergeCell ref="F16:H16"/>
    <mergeCell ref="F17:H17"/>
    <mergeCell ref="B9:E13"/>
    <mergeCell ref="F9:H9"/>
    <mergeCell ref="F10:H10"/>
    <mergeCell ref="F11:H11"/>
    <mergeCell ref="F12:H12"/>
    <mergeCell ref="F13:H13"/>
    <mergeCell ref="B24:E25"/>
    <mergeCell ref="F24:H24"/>
    <mergeCell ref="F25:H25"/>
    <mergeCell ref="B26:E26"/>
    <mergeCell ref="F26:H26"/>
    <mergeCell ref="B27:E27"/>
    <mergeCell ref="F27:H27"/>
    <mergeCell ref="B18:E18"/>
    <mergeCell ref="F18:H18"/>
    <mergeCell ref="B19:E23"/>
    <mergeCell ref="F19:H19"/>
    <mergeCell ref="F20:H20"/>
    <mergeCell ref="F21:H21"/>
    <mergeCell ref="F22:H22"/>
    <mergeCell ref="F23:H23"/>
    <mergeCell ref="B32:E32"/>
    <mergeCell ref="F32:H32"/>
    <mergeCell ref="B34:I34"/>
    <mergeCell ref="J36:L36"/>
    <mergeCell ref="J71:K71"/>
    <mergeCell ref="K73:L73"/>
    <mergeCell ref="B28:E29"/>
    <mergeCell ref="F28:H28"/>
    <mergeCell ref="F29:H29"/>
    <mergeCell ref="B30:E30"/>
    <mergeCell ref="F30:H30"/>
    <mergeCell ref="B31:E31"/>
    <mergeCell ref="F31:H31"/>
    <mergeCell ref="B44:E44"/>
    <mergeCell ref="B45:E45"/>
    <mergeCell ref="B46:E46"/>
    <mergeCell ref="B67:C67"/>
    <mergeCell ref="B68:C68"/>
    <mergeCell ref="B69:C69"/>
    <mergeCell ref="B70:C70"/>
    <mergeCell ref="B71:C71"/>
    <mergeCell ref="B72:C72"/>
    <mergeCell ref="B61:C61"/>
    <mergeCell ref="B62:C62"/>
    <mergeCell ref="J84:J85"/>
    <mergeCell ref="K84:L85"/>
    <mergeCell ref="B48:L49"/>
    <mergeCell ref="J86:J90"/>
    <mergeCell ref="K86:L90"/>
    <mergeCell ref="B50:M50"/>
    <mergeCell ref="B51:L51"/>
    <mergeCell ref="K74:L74"/>
    <mergeCell ref="K75:L75"/>
    <mergeCell ref="K76:L76"/>
    <mergeCell ref="J77:J83"/>
    <mergeCell ref="K77:L83"/>
    <mergeCell ref="B58:C58"/>
    <mergeCell ref="J58:K58"/>
    <mergeCell ref="B59:C59"/>
    <mergeCell ref="J59:K59"/>
    <mergeCell ref="B60:C60"/>
    <mergeCell ref="J60:K60"/>
    <mergeCell ref="B54:C54"/>
    <mergeCell ref="J54:K54"/>
    <mergeCell ref="B55:C55"/>
    <mergeCell ref="B56:C56"/>
    <mergeCell ref="B57:C57"/>
    <mergeCell ref="J57:K57"/>
    <mergeCell ref="B63:C63"/>
    <mergeCell ref="B64:C64"/>
    <mergeCell ref="B65:C65"/>
    <mergeCell ref="B66:C66"/>
    <mergeCell ref="B79:C79"/>
    <mergeCell ref="B80:C80"/>
    <mergeCell ref="B81:C81"/>
    <mergeCell ref="B82:C82"/>
    <mergeCell ref="B83:C83"/>
    <mergeCell ref="B84:C84"/>
    <mergeCell ref="B73:C73"/>
    <mergeCell ref="B74:C74"/>
    <mergeCell ref="B75:C75"/>
    <mergeCell ref="B76:C76"/>
    <mergeCell ref="B77:C77"/>
    <mergeCell ref="B78:C78"/>
    <mergeCell ref="B91:C91"/>
    <mergeCell ref="B92:C92"/>
    <mergeCell ref="B93:C93"/>
    <mergeCell ref="B94:C94"/>
    <mergeCell ref="B95:C95"/>
    <mergeCell ref="B96:C96"/>
    <mergeCell ref="B85:C85"/>
    <mergeCell ref="B86:C86"/>
    <mergeCell ref="B87:C87"/>
    <mergeCell ref="B88:C88"/>
    <mergeCell ref="B89:C89"/>
    <mergeCell ref="B90:C90"/>
    <mergeCell ref="M98:M99"/>
    <mergeCell ref="B99:C99"/>
    <mergeCell ref="B103:D104"/>
    <mergeCell ref="B105:D105"/>
    <mergeCell ref="B106:D106"/>
    <mergeCell ref="B107:D107"/>
    <mergeCell ref="B97:C98"/>
    <mergeCell ref="D97:D98"/>
    <mergeCell ref="E97:E98"/>
    <mergeCell ref="G97:G98"/>
    <mergeCell ref="H97:H98"/>
    <mergeCell ref="L98:L99"/>
  </mergeCells>
  <pageMargins left="0.7" right="0.7" top="0.78740157499999996" bottom="0.78740157499999996" header="0.3" footer="0.3"/>
  <pageSetup paperSize="9" scale="5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workbookViewId="0">
      <selection activeCell="G45" sqref="A1:G45"/>
    </sheetView>
  </sheetViews>
  <sheetFormatPr defaultRowHeight="15" x14ac:dyDescent="0.25"/>
  <cols>
    <col min="4" max="5" width="14.28515625" customWidth="1"/>
    <col min="6" max="6" width="18.28515625" customWidth="1"/>
  </cols>
  <sheetData>
    <row r="1" spans="2:18" ht="15.75" thickBot="1" x14ac:dyDescent="0.3">
      <c r="B1" s="386" t="s">
        <v>161</v>
      </c>
      <c r="C1" s="387"/>
      <c r="D1" s="387"/>
      <c r="E1" s="387"/>
      <c r="F1" s="388"/>
    </row>
    <row r="2" spans="2:18" ht="15.75" thickBot="1" x14ac:dyDescent="0.3">
      <c r="B2" s="278" t="s">
        <v>75</v>
      </c>
      <c r="C2" s="390"/>
      <c r="D2" s="177">
        <v>2023</v>
      </c>
      <c r="E2" s="177">
        <v>2024</v>
      </c>
      <c r="F2" s="177" t="s">
        <v>159</v>
      </c>
      <c r="G2" s="186"/>
      <c r="H2" s="186"/>
      <c r="I2" s="186"/>
      <c r="J2" s="186"/>
      <c r="K2" s="186"/>
    </row>
    <row r="3" spans="2:18" ht="15.75" thickBot="1" x14ac:dyDescent="0.3">
      <c r="B3" s="232" t="s">
        <v>80</v>
      </c>
      <c r="C3" s="391"/>
      <c r="D3" s="178">
        <v>60900</v>
      </c>
      <c r="E3" s="205">
        <v>67500</v>
      </c>
      <c r="F3" s="181">
        <f>E3-D3</f>
        <v>6600</v>
      </c>
      <c r="G3" s="186"/>
      <c r="H3" s="186"/>
      <c r="I3" s="186"/>
      <c r="J3" s="186"/>
      <c r="K3" s="186"/>
    </row>
    <row r="4" spans="2:18" ht="15.75" thickBot="1" x14ac:dyDescent="0.3">
      <c r="B4" s="392" t="s">
        <v>82</v>
      </c>
      <c r="C4" s="393"/>
      <c r="D4" s="178">
        <v>61300</v>
      </c>
      <c r="E4" s="205">
        <v>67900</v>
      </c>
      <c r="F4" s="181">
        <f t="shared" ref="F4:F43" si="0">E4-D4</f>
        <v>6600</v>
      </c>
      <c r="G4" s="186"/>
      <c r="H4" s="186"/>
      <c r="I4" s="186"/>
      <c r="J4" s="186"/>
      <c r="K4" s="186"/>
    </row>
    <row r="5" spans="2:18" ht="15.75" thickBot="1" x14ac:dyDescent="0.3">
      <c r="B5" s="281" t="s">
        <v>57</v>
      </c>
      <c r="C5" s="394"/>
      <c r="D5" s="178">
        <v>148600</v>
      </c>
      <c r="E5" s="205">
        <v>166100</v>
      </c>
      <c r="F5" s="181">
        <f t="shared" si="0"/>
        <v>17500</v>
      </c>
      <c r="G5" s="186"/>
      <c r="H5" s="186"/>
      <c r="I5" s="186"/>
      <c r="J5" s="186"/>
      <c r="K5" s="186"/>
    </row>
    <row r="6" spans="2:18" ht="15.75" thickBot="1" x14ac:dyDescent="0.3">
      <c r="B6" s="392" t="s">
        <v>86</v>
      </c>
      <c r="C6" s="393"/>
      <c r="D6" s="178">
        <v>35900</v>
      </c>
      <c r="E6" s="205">
        <v>39700</v>
      </c>
      <c r="F6" s="181">
        <f t="shared" si="0"/>
        <v>3800</v>
      </c>
      <c r="G6" s="186"/>
      <c r="H6" s="186"/>
      <c r="I6" s="186"/>
      <c r="J6" s="186"/>
      <c r="K6" s="186"/>
    </row>
    <row r="7" spans="2:18" ht="15.75" thickBot="1" x14ac:dyDescent="0.3">
      <c r="B7" s="232" t="s">
        <v>89</v>
      </c>
      <c r="C7" s="391"/>
      <c r="D7" s="178">
        <v>103800</v>
      </c>
      <c r="E7" s="205">
        <v>115100</v>
      </c>
      <c r="F7" s="181">
        <f t="shared" si="0"/>
        <v>11300</v>
      </c>
      <c r="G7" s="186"/>
      <c r="H7" s="186"/>
      <c r="I7" s="186"/>
      <c r="J7" s="186"/>
      <c r="K7" s="186"/>
    </row>
    <row r="8" spans="2:18" ht="15.75" thickBot="1" x14ac:dyDescent="0.3">
      <c r="B8" s="392" t="s">
        <v>92</v>
      </c>
      <c r="C8" s="393"/>
      <c r="D8" s="178">
        <v>89500</v>
      </c>
      <c r="E8" s="205">
        <v>99100</v>
      </c>
      <c r="F8" s="181">
        <f t="shared" si="0"/>
        <v>9600</v>
      </c>
      <c r="G8" s="186"/>
      <c r="H8" s="186"/>
      <c r="I8" s="186"/>
      <c r="J8" s="186"/>
      <c r="K8" s="186"/>
    </row>
    <row r="9" spans="2:18" ht="15.75" thickBot="1" x14ac:dyDescent="0.3">
      <c r="B9" s="232" t="s">
        <v>94</v>
      </c>
      <c r="C9" s="391"/>
      <c r="D9" s="178">
        <v>17600</v>
      </c>
      <c r="E9" s="205">
        <v>19500</v>
      </c>
      <c r="F9" s="181">
        <f t="shared" si="0"/>
        <v>1900</v>
      </c>
      <c r="G9" s="186"/>
      <c r="H9" s="186"/>
      <c r="I9" s="186"/>
      <c r="J9" s="186"/>
      <c r="K9" s="186"/>
    </row>
    <row r="10" spans="2:18" ht="15.75" thickBot="1" x14ac:dyDescent="0.3">
      <c r="B10" s="395" t="s">
        <v>95</v>
      </c>
      <c r="C10" s="396"/>
      <c r="D10" s="178">
        <v>271000</v>
      </c>
      <c r="E10" s="205">
        <v>276000</v>
      </c>
      <c r="F10" s="181">
        <f t="shared" si="0"/>
        <v>5000</v>
      </c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</row>
    <row r="11" spans="2:18" ht="15.75" thickBot="1" x14ac:dyDescent="0.3">
      <c r="B11" s="235" t="s">
        <v>98</v>
      </c>
      <c r="C11" s="389"/>
      <c r="D11" s="178">
        <v>36700</v>
      </c>
      <c r="E11" s="205">
        <v>40600</v>
      </c>
      <c r="F11" s="181">
        <f t="shared" si="0"/>
        <v>3900</v>
      </c>
    </row>
    <row r="12" spans="2:18" ht="15.75" thickBot="1" x14ac:dyDescent="0.3">
      <c r="B12" s="392" t="s">
        <v>101</v>
      </c>
      <c r="C12" s="393"/>
      <c r="D12" s="178">
        <v>62800</v>
      </c>
      <c r="E12" s="205">
        <v>69500</v>
      </c>
      <c r="F12" s="181">
        <f t="shared" si="0"/>
        <v>6700</v>
      </c>
    </row>
    <row r="13" spans="2:18" ht="15.75" thickBot="1" x14ac:dyDescent="0.3">
      <c r="B13" s="235" t="s">
        <v>103</v>
      </c>
      <c r="C13" s="389"/>
      <c r="D13" s="178">
        <v>21900</v>
      </c>
      <c r="E13" s="205">
        <v>24300</v>
      </c>
      <c r="F13" s="181">
        <f t="shared" si="0"/>
        <v>2400</v>
      </c>
    </row>
    <row r="14" spans="2:18" ht="15.75" thickBot="1" x14ac:dyDescent="0.3">
      <c r="B14" s="392" t="s">
        <v>105</v>
      </c>
      <c r="C14" s="393"/>
      <c r="D14" s="178">
        <v>80100</v>
      </c>
      <c r="E14" s="205">
        <v>88600</v>
      </c>
      <c r="F14" s="181">
        <f t="shared" si="0"/>
        <v>8500</v>
      </c>
    </row>
    <row r="15" spans="2:18" ht="15.75" thickBot="1" x14ac:dyDescent="0.3">
      <c r="B15" s="235" t="s">
        <v>107</v>
      </c>
      <c r="C15" s="389"/>
      <c r="D15" s="178">
        <v>15100</v>
      </c>
      <c r="E15" s="205">
        <v>16700</v>
      </c>
      <c r="F15" s="181">
        <f t="shared" si="0"/>
        <v>1600</v>
      </c>
    </row>
    <row r="16" spans="2:18" ht="15.75" thickBot="1" x14ac:dyDescent="0.3">
      <c r="B16" s="397" t="s">
        <v>109</v>
      </c>
      <c r="C16" s="398"/>
      <c r="D16" s="178">
        <v>58000</v>
      </c>
      <c r="E16" s="205">
        <v>64300</v>
      </c>
      <c r="F16" s="181">
        <f t="shared" si="0"/>
        <v>6300</v>
      </c>
    </row>
    <row r="17" spans="2:18" ht="15.75" thickBot="1" x14ac:dyDescent="0.3">
      <c r="B17" s="235" t="s">
        <v>110</v>
      </c>
      <c r="C17" s="389"/>
      <c r="D17" s="178">
        <v>166700</v>
      </c>
      <c r="E17" s="205">
        <v>184600</v>
      </c>
      <c r="F17" s="181">
        <f t="shared" si="0"/>
        <v>17900</v>
      </c>
    </row>
    <row r="18" spans="2:18" ht="15.75" thickBot="1" x14ac:dyDescent="0.3">
      <c r="B18" s="392" t="s">
        <v>111</v>
      </c>
      <c r="C18" s="393"/>
      <c r="D18" s="178">
        <v>64800</v>
      </c>
      <c r="E18" s="205">
        <v>71700</v>
      </c>
      <c r="F18" s="181">
        <f t="shared" si="0"/>
        <v>6900</v>
      </c>
    </row>
    <row r="19" spans="2:18" ht="15.75" thickBot="1" x14ac:dyDescent="0.3">
      <c r="B19" s="232" t="s">
        <v>112</v>
      </c>
      <c r="C19" s="391"/>
      <c r="D19" s="178">
        <v>21600</v>
      </c>
      <c r="E19" s="205">
        <v>23900</v>
      </c>
      <c r="F19" s="181">
        <f t="shared" si="0"/>
        <v>2300</v>
      </c>
    </row>
    <row r="20" spans="2:18" ht="15.75" thickBot="1" x14ac:dyDescent="0.3">
      <c r="B20" s="232" t="s">
        <v>113</v>
      </c>
      <c r="C20" s="391"/>
      <c r="D20" s="178">
        <v>60100</v>
      </c>
      <c r="E20" s="205">
        <v>66600</v>
      </c>
      <c r="F20" s="181">
        <f t="shared" si="0"/>
        <v>6500</v>
      </c>
    </row>
    <row r="21" spans="2:18" ht="15.75" thickBot="1" x14ac:dyDescent="0.3">
      <c r="B21" s="232" t="s">
        <v>114</v>
      </c>
      <c r="C21" s="391"/>
      <c r="D21" s="178">
        <v>24100</v>
      </c>
      <c r="E21" s="205">
        <v>26700</v>
      </c>
      <c r="F21" s="181">
        <f t="shared" si="0"/>
        <v>2600</v>
      </c>
    </row>
    <row r="22" spans="2:18" ht="15.75" thickBot="1" x14ac:dyDescent="0.3">
      <c r="B22" s="232" t="s">
        <v>115</v>
      </c>
      <c r="C22" s="391"/>
      <c r="D22" s="178">
        <v>33300</v>
      </c>
      <c r="E22" s="205">
        <v>36900</v>
      </c>
      <c r="F22" s="181">
        <f t="shared" si="0"/>
        <v>3600</v>
      </c>
    </row>
    <row r="23" spans="2:18" ht="15.75" thickBot="1" x14ac:dyDescent="0.3">
      <c r="B23" s="232" t="s">
        <v>116</v>
      </c>
      <c r="C23" s="391"/>
      <c r="D23" s="178">
        <v>15500</v>
      </c>
      <c r="E23" s="205">
        <v>17200</v>
      </c>
      <c r="F23" s="181">
        <f t="shared" si="0"/>
        <v>1700</v>
      </c>
    </row>
    <row r="24" spans="2:18" ht="15.75" thickBot="1" x14ac:dyDescent="0.3">
      <c r="B24" s="392" t="s">
        <v>117</v>
      </c>
      <c r="C24" s="393"/>
      <c r="D24" s="178">
        <v>13100</v>
      </c>
      <c r="E24" s="205">
        <v>14500</v>
      </c>
      <c r="F24" s="181">
        <f t="shared" si="0"/>
        <v>1400</v>
      </c>
    </row>
    <row r="25" spans="2:18" ht="15.75" thickBot="1" x14ac:dyDescent="0.3">
      <c r="B25" s="235" t="s">
        <v>118</v>
      </c>
      <c r="C25" s="389"/>
      <c r="D25" s="178">
        <v>46000</v>
      </c>
      <c r="E25" s="205">
        <v>50900</v>
      </c>
      <c r="F25" s="181">
        <f t="shared" si="0"/>
        <v>4900</v>
      </c>
    </row>
    <row r="26" spans="2:18" ht="15.75" thickBot="1" x14ac:dyDescent="0.3">
      <c r="B26" s="392" t="s">
        <v>119</v>
      </c>
      <c r="C26" s="393"/>
      <c r="D26" s="178">
        <v>73800</v>
      </c>
      <c r="E26" s="205">
        <v>81700</v>
      </c>
      <c r="F26" s="181">
        <f t="shared" si="0"/>
        <v>7900</v>
      </c>
    </row>
    <row r="27" spans="2:18" ht="15.75" thickBot="1" x14ac:dyDescent="0.3">
      <c r="B27" s="243" t="s">
        <v>120</v>
      </c>
      <c r="C27" s="400"/>
      <c r="D27" s="178">
        <v>44500</v>
      </c>
      <c r="E27" s="205">
        <v>45300</v>
      </c>
      <c r="F27" s="181">
        <f t="shared" si="0"/>
        <v>800</v>
      </c>
    </row>
    <row r="28" spans="2:18" ht="15.75" thickBot="1" x14ac:dyDescent="0.3">
      <c r="B28" s="395" t="s">
        <v>121</v>
      </c>
      <c r="C28" s="396"/>
      <c r="D28" s="178">
        <v>75200</v>
      </c>
      <c r="E28" s="205">
        <v>76600</v>
      </c>
      <c r="F28" s="181">
        <f t="shared" si="0"/>
        <v>1400</v>
      </c>
    </row>
    <row r="29" spans="2:18" ht="15.75" thickBot="1" x14ac:dyDescent="0.3">
      <c r="B29" s="246" t="s">
        <v>59</v>
      </c>
      <c r="C29" s="401"/>
      <c r="D29" s="178">
        <v>119700</v>
      </c>
      <c r="E29" s="205">
        <v>133800</v>
      </c>
      <c r="F29" s="181">
        <f t="shared" si="0"/>
        <v>14100</v>
      </c>
    </row>
    <row r="30" spans="2:18" ht="15.75" thickBot="1" x14ac:dyDescent="0.3">
      <c r="B30" s="402" t="s">
        <v>122</v>
      </c>
      <c r="C30" s="403"/>
      <c r="D30" s="178">
        <v>30000</v>
      </c>
      <c r="E30" s="205">
        <v>33200</v>
      </c>
      <c r="F30" s="181">
        <f t="shared" si="0"/>
        <v>3200</v>
      </c>
    </row>
    <row r="31" spans="2:18" ht="15.75" thickBot="1" x14ac:dyDescent="0.3">
      <c r="B31" s="243" t="s">
        <v>123</v>
      </c>
      <c r="C31" s="400"/>
      <c r="D31" s="178">
        <v>269300</v>
      </c>
      <c r="E31" s="205">
        <v>274400</v>
      </c>
      <c r="F31" s="181">
        <f t="shared" si="0"/>
        <v>5100</v>
      </c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</row>
    <row r="32" spans="2:18" ht="15.75" thickBot="1" x14ac:dyDescent="0.3">
      <c r="B32" s="392" t="s">
        <v>124</v>
      </c>
      <c r="C32" s="393"/>
      <c r="D32" s="178">
        <v>81700</v>
      </c>
      <c r="E32" s="205">
        <v>90500</v>
      </c>
      <c r="F32" s="181">
        <f t="shared" si="0"/>
        <v>8800</v>
      </c>
    </row>
    <row r="33" spans="1:6" ht="15.75" thickBot="1" x14ac:dyDescent="0.3">
      <c r="B33" s="232" t="s">
        <v>125</v>
      </c>
      <c r="C33" s="391"/>
      <c r="D33" s="178">
        <v>53000</v>
      </c>
      <c r="E33" s="205">
        <v>58700</v>
      </c>
      <c r="F33" s="181">
        <f t="shared" si="0"/>
        <v>5700</v>
      </c>
    </row>
    <row r="34" spans="1:6" ht="15.75" thickBot="1" x14ac:dyDescent="0.3">
      <c r="B34" s="392" t="s">
        <v>126</v>
      </c>
      <c r="C34" s="393"/>
      <c r="D34" s="178">
        <v>191300</v>
      </c>
      <c r="E34" s="205">
        <v>211800</v>
      </c>
      <c r="F34" s="181">
        <f t="shared" si="0"/>
        <v>20500</v>
      </c>
    </row>
    <row r="35" spans="1:6" ht="15.75" thickBot="1" x14ac:dyDescent="0.3">
      <c r="B35" s="232" t="s">
        <v>127</v>
      </c>
      <c r="C35" s="391"/>
      <c r="D35" s="178">
        <v>34600</v>
      </c>
      <c r="E35" s="205">
        <v>38300</v>
      </c>
      <c r="F35" s="181">
        <f t="shared" si="0"/>
        <v>3700</v>
      </c>
    </row>
    <row r="36" spans="1:6" ht="15.75" thickBot="1" x14ac:dyDescent="0.3">
      <c r="B36" s="392" t="s">
        <v>128</v>
      </c>
      <c r="C36" s="393"/>
      <c r="D36" s="178">
        <v>92600</v>
      </c>
      <c r="E36" s="205">
        <v>102500</v>
      </c>
      <c r="F36" s="181">
        <f t="shared" si="0"/>
        <v>9900</v>
      </c>
    </row>
    <row r="37" spans="1:6" ht="15.75" thickBot="1" x14ac:dyDescent="0.3">
      <c r="B37" s="239" t="s">
        <v>61</v>
      </c>
      <c r="C37" s="399"/>
      <c r="D37" s="178">
        <v>155800</v>
      </c>
      <c r="E37" s="205">
        <v>174300</v>
      </c>
      <c r="F37" s="181">
        <f t="shared" si="0"/>
        <v>18500</v>
      </c>
    </row>
    <row r="38" spans="1:6" ht="15.75" thickBot="1" x14ac:dyDescent="0.3">
      <c r="B38" s="392" t="s">
        <v>129</v>
      </c>
      <c r="C38" s="393"/>
      <c r="D38" s="178">
        <v>51400</v>
      </c>
      <c r="E38" s="205">
        <v>56900</v>
      </c>
      <c r="F38" s="181">
        <f t="shared" si="0"/>
        <v>5500</v>
      </c>
    </row>
    <row r="39" spans="1:6" ht="15.75" thickBot="1" x14ac:dyDescent="0.3">
      <c r="B39" s="241" t="s">
        <v>130</v>
      </c>
      <c r="C39" s="404"/>
      <c r="D39" s="178">
        <v>65400</v>
      </c>
      <c r="E39" s="205">
        <v>72400</v>
      </c>
      <c r="F39" s="181">
        <f t="shared" si="0"/>
        <v>7000</v>
      </c>
    </row>
    <row r="40" spans="1:6" ht="15.75" thickBot="1" x14ac:dyDescent="0.3">
      <c r="B40" s="397" t="s">
        <v>131</v>
      </c>
      <c r="C40" s="398"/>
      <c r="D40" s="178">
        <v>77600</v>
      </c>
      <c r="E40" s="205">
        <v>86000</v>
      </c>
      <c r="F40" s="181">
        <f t="shared" si="0"/>
        <v>8400</v>
      </c>
    </row>
    <row r="41" spans="1:6" ht="15.75" thickBot="1" x14ac:dyDescent="0.3">
      <c r="B41" s="232" t="s">
        <v>132</v>
      </c>
      <c r="C41" s="391"/>
      <c r="D41" s="178">
        <v>538500</v>
      </c>
      <c r="E41" s="205">
        <v>593900</v>
      </c>
      <c r="F41" s="181">
        <f t="shared" si="0"/>
        <v>55400</v>
      </c>
    </row>
    <row r="42" spans="1:6" ht="15.75" thickBot="1" x14ac:dyDescent="0.3">
      <c r="B42" s="397" t="s">
        <v>133</v>
      </c>
      <c r="C42" s="398"/>
      <c r="D42" s="178">
        <v>35500</v>
      </c>
      <c r="E42" s="205">
        <v>39300</v>
      </c>
      <c r="F42" s="181">
        <f t="shared" si="0"/>
        <v>3800</v>
      </c>
    </row>
    <row r="43" spans="1:6" ht="15.75" thickBot="1" x14ac:dyDescent="0.3">
      <c r="B43" s="235" t="s">
        <v>134</v>
      </c>
      <c r="C43" s="389"/>
      <c r="D43" s="178">
        <v>89000</v>
      </c>
      <c r="E43" s="205">
        <v>98600</v>
      </c>
      <c r="F43" s="181">
        <f t="shared" si="0"/>
        <v>9600</v>
      </c>
    </row>
    <row r="44" spans="1:6" x14ac:dyDescent="0.25">
      <c r="D44" s="180">
        <f>SUM(D3:D43)</f>
        <v>3587300</v>
      </c>
      <c r="E44" s="180">
        <f>SUM(E3:E43)</f>
        <v>3916100</v>
      </c>
      <c r="F44" s="180">
        <f>SUM(F3:F43)</f>
        <v>328800</v>
      </c>
    </row>
    <row r="46" spans="1:6" x14ac:dyDescent="0.25">
      <c r="A46" s="186"/>
      <c r="B46" s="314"/>
      <c r="C46" s="314"/>
    </row>
    <row r="47" spans="1:6" x14ac:dyDescent="0.25">
      <c r="A47" s="186"/>
      <c r="B47" s="314"/>
      <c r="C47" s="314"/>
    </row>
  </sheetData>
  <mergeCells count="45">
    <mergeCell ref="B46:C46"/>
    <mergeCell ref="B47:C47"/>
    <mergeCell ref="B38:C38"/>
    <mergeCell ref="B39:C39"/>
    <mergeCell ref="B40:C40"/>
    <mergeCell ref="B41:C41"/>
    <mergeCell ref="B42:C42"/>
    <mergeCell ref="B43:C43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1:F1"/>
    <mergeCell ref="B13:C13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Spolufinancování 2024 final</vt:lpstr>
      <vt:lpstr>obce 2023 - 2024</vt:lpstr>
      <vt:lpstr>'Spolufinancování 2024 final'!Oblast_tisku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2024-08-22T09:07:56Z</dcterms:modified>
</cp:coreProperties>
</file>