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prchalova\Desktop\Marcela Prchalová\KPSS\Financování soc. služeb\2027_Minimální síť a dotace na návazné služby\"/>
    </mc:Choice>
  </mc:AlternateContent>
  <bookViews>
    <workbookView xWindow="0" yWindow="0" windowWidth="28800" windowHeight="11880"/>
  </bookViews>
  <sheets>
    <sheet name="Příloha č. 1-2027 čisté" sheetId="1" r:id="rId1"/>
    <sheet name="Příloha č. 1-2027 se spoluúčast" sheetId="2" r:id="rId2"/>
  </sheets>
  <definedNames>
    <definedName name="_xlnm.Print_Area" localSheetId="0">'Příloha č. 1-2027 čisté'!$B$2:$S$32</definedName>
    <definedName name="_xlnm.Print_Area" localSheetId="1">'Příloha č. 1-2027 se spoluúčast'!$B$2:$S$32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6" i="2" l="1"/>
  <c r="H106" i="2" s="1"/>
  <c r="D99" i="2"/>
  <c r="F98" i="2"/>
  <c r="H96" i="2"/>
  <c r="E105" i="2" s="1"/>
  <c r="H105" i="2" s="1"/>
  <c r="F89" i="2"/>
  <c r="F81" i="2"/>
  <c r="E81" i="2"/>
  <c r="G81" i="2" s="1"/>
  <c r="E77" i="2"/>
  <c r="E69" i="2"/>
  <c r="L67" i="2"/>
  <c r="L66" i="2"/>
  <c r="L65" i="2"/>
  <c r="L64" i="2"/>
  <c r="F62" i="2" s="1"/>
  <c r="N63" i="2"/>
  <c r="L63" i="2"/>
  <c r="E63" i="2"/>
  <c r="L62" i="2"/>
  <c r="N62" i="2" s="1"/>
  <c r="F55" i="2" s="1"/>
  <c r="L60" i="2"/>
  <c r="L59" i="2"/>
  <c r="N58" i="2"/>
  <c r="L58" i="2"/>
  <c r="E58" i="2"/>
  <c r="L57" i="2"/>
  <c r="N57" i="2" s="1"/>
  <c r="F93" i="2" s="1"/>
  <c r="F57" i="2"/>
  <c r="L56" i="2"/>
  <c r="L55" i="2"/>
  <c r="L54" i="2"/>
  <c r="L61" i="2" s="1"/>
  <c r="F46" i="2"/>
  <c r="H45" i="2"/>
  <c r="F45" i="2"/>
  <c r="F44" i="2"/>
  <c r="H42" i="2"/>
  <c r="K40" i="2"/>
  <c r="H39" i="2"/>
  <c r="K39" i="2" s="1"/>
  <c r="E97" i="2" s="1"/>
  <c r="H36" i="2"/>
  <c r="S35" i="2"/>
  <c r="Q35" i="2"/>
  <c r="E107" i="2" s="1"/>
  <c r="H107" i="2" s="1"/>
  <c r="S34" i="2"/>
  <c r="J34" i="2"/>
  <c r="L33" i="2"/>
  <c r="N33" i="2" s="1"/>
  <c r="L32" i="2"/>
  <c r="N32" i="2" s="1"/>
  <c r="AC31" i="2"/>
  <c r="AD31" i="2" s="1"/>
  <c r="AA31" i="2"/>
  <c r="X31" i="2"/>
  <c r="R31" i="2"/>
  <c r="N31" i="2"/>
  <c r="L31" i="2"/>
  <c r="L30" i="2"/>
  <c r="N30" i="2" s="1"/>
  <c r="N29" i="2"/>
  <c r="L29" i="2"/>
  <c r="L28" i="2"/>
  <c r="N28" i="2" s="1"/>
  <c r="N27" i="2"/>
  <c r="L27" i="2"/>
  <c r="L26" i="2"/>
  <c r="N26" i="2" s="1"/>
  <c r="N25" i="2"/>
  <c r="L25" i="2"/>
  <c r="L24" i="2"/>
  <c r="N24" i="2" s="1"/>
  <c r="N23" i="2"/>
  <c r="L23" i="2"/>
  <c r="L22" i="2"/>
  <c r="N22" i="2" s="1"/>
  <c r="N21" i="2"/>
  <c r="L21" i="2"/>
  <c r="L20" i="2"/>
  <c r="N20" i="2" s="1"/>
  <c r="Z19" i="2"/>
  <c r="X19" i="2"/>
  <c r="L19" i="2"/>
  <c r="L18" i="2"/>
  <c r="N18" i="2" s="1"/>
  <c r="L17" i="2"/>
  <c r="N17" i="2" s="1"/>
  <c r="AB16" i="2"/>
  <c r="AA16" i="2"/>
  <c r="AD16" i="2" s="1"/>
  <c r="Z16" i="2"/>
  <c r="AC16" i="2" s="1"/>
  <c r="X16" i="2"/>
  <c r="P16" i="2"/>
  <c r="N16" i="2"/>
  <c r="L16" i="2"/>
  <c r="AC15" i="2"/>
  <c r="AB15" i="2"/>
  <c r="Z15" i="2"/>
  <c r="AA15" i="2" s="1"/>
  <c r="AD15" i="2" s="1"/>
  <c r="X15" i="2"/>
  <c r="R15" i="2"/>
  <c r="L15" i="2"/>
  <c r="P15" i="2" s="1"/>
  <c r="Z14" i="2"/>
  <c r="X14" i="2"/>
  <c r="R14" i="2"/>
  <c r="P14" i="2"/>
  <c r="N14" i="2"/>
  <c r="L14" i="2"/>
  <c r="L13" i="2"/>
  <c r="N13" i="2" s="1"/>
  <c r="N12" i="2"/>
  <c r="L12" i="2"/>
  <c r="L11" i="2"/>
  <c r="N11" i="2" s="1"/>
  <c r="N10" i="2"/>
  <c r="L10" i="2"/>
  <c r="L9" i="2"/>
  <c r="N9" i="2" s="1"/>
  <c r="Z8" i="2"/>
  <c r="X8" i="2"/>
  <c r="P8" i="2"/>
  <c r="N8" i="2"/>
  <c r="L8" i="2"/>
  <c r="R8" i="2" s="1"/>
  <c r="AC7" i="2"/>
  <c r="AB7" i="2"/>
  <c r="Z7" i="2"/>
  <c r="AA7" i="2" s="1"/>
  <c r="AD7" i="2" s="1"/>
  <c r="X7" i="2"/>
  <c r="R7" i="2"/>
  <c r="L7" i="2"/>
  <c r="P7" i="2" s="1"/>
  <c r="Z6" i="2"/>
  <c r="AB6" i="2" s="1"/>
  <c r="X6" i="2"/>
  <c r="L6" i="2"/>
  <c r="L57" i="1"/>
  <c r="L60" i="1"/>
  <c r="L59" i="1"/>
  <c r="L58" i="1"/>
  <c r="L56" i="1"/>
  <c r="L55" i="1"/>
  <c r="L54" i="1"/>
  <c r="H42" i="1"/>
  <c r="P36" i="1"/>
  <c r="E107" i="1" s="1"/>
  <c r="H107" i="1" s="1"/>
  <c r="H45" i="1"/>
  <c r="F45" i="1"/>
  <c r="F46" i="1"/>
  <c r="H39" i="1"/>
  <c r="L33" i="1"/>
  <c r="N33" i="1" s="1"/>
  <c r="L61" i="1" l="1"/>
  <c r="F74" i="2"/>
  <c r="AC8" i="2"/>
  <c r="AB8" i="2"/>
  <c r="AA8" i="2"/>
  <c r="AD8" i="2" s="1"/>
  <c r="F87" i="2"/>
  <c r="F75" i="2"/>
  <c r="F71" i="2"/>
  <c r="F85" i="2"/>
  <c r="F73" i="2"/>
  <c r="F94" i="2"/>
  <c r="F92" i="2"/>
  <c r="F72" i="2"/>
  <c r="F68" i="2"/>
  <c r="F59" i="2"/>
  <c r="F61" i="2"/>
  <c r="N19" i="2"/>
  <c r="R19" i="2"/>
  <c r="E103" i="2"/>
  <c r="M36" i="2"/>
  <c r="F83" i="2"/>
  <c r="AC19" i="2"/>
  <c r="AB19" i="2"/>
  <c r="AA19" i="2"/>
  <c r="L34" i="2"/>
  <c r="AC14" i="2"/>
  <c r="AA14" i="2"/>
  <c r="AB14" i="2"/>
  <c r="E94" i="2"/>
  <c r="E90" i="2"/>
  <c r="E86" i="2"/>
  <c r="E82" i="2"/>
  <c r="E78" i="2"/>
  <c r="E74" i="2"/>
  <c r="G74" i="2" s="1"/>
  <c r="E70" i="2"/>
  <c r="E62" i="2"/>
  <c r="G62" i="2" s="1"/>
  <c r="E61" i="2"/>
  <c r="G61" i="2" s="1"/>
  <c r="E57" i="2"/>
  <c r="G57" i="2" s="1"/>
  <c r="E56" i="2"/>
  <c r="E55" i="2"/>
  <c r="E92" i="2"/>
  <c r="G92" i="2" s="1"/>
  <c r="E88" i="2"/>
  <c r="E80" i="2"/>
  <c r="E68" i="2"/>
  <c r="G68" i="2" s="1"/>
  <c r="E66" i="2"/>
  <c r="E64" i="2"/>
  <c r="E59" i="2"/>
  <c r="E93" i="2"/>
  <c r="G93" i="2" s="1"/>
  <c r="E85" i="2"/>
  <c r="G85" i="2" s="1"/>
  <c r="E95" i="2"/>
  <c r="E91" i="2"/>
  <c r="E87" i="2"/>
  <c r="G87" i="2" s="1"/>
  <c r="E83" i="2"/>
  <c r="G83" i="2" s="1"/>
  <c r="E79" i="2"/>
  <c r="G79" i="2" s="1"/>
  <c r="E75" i="2"/>
  <c r="E71" i="2"/>
  <c r="G71" i="2" s="1"/>
  <c r="E60" i="2"/>
  <c r="E84" i="2"/>
  <c r="E76" i="2"/>
  <c r="E72" i="2"/>
  <c r="G72" i="2" s="1"/>
  <c r="E67" i="2"/>
  <c r="E65" i="2"/>
  <c r="E89" i="2"/>
  <c r="G89" i="2" s="1"/>
  <c r="N60" i="2"/>
  <c r="N59" i="2"/>
  <c r="F97" i="2" s="1"/>
  <c r="E73" i="2"/>
  <c r="G73" i="2" s="1"/>
  <c r="N6" i="2"/>
  <c r="AA6" i="2"/>
  <c r="AD6" i="2" s="1"/>
  <c r="N7" i="2"/>
  <c r="N15" i="2"/>
  <c r="F80" i="2"/>
  <c r="P6" i="2"/>
  <c r="F79" i="2"/>
  <c r="G78" i="2" l="1"/>
  <c r="G94" i="2"/>
  <c r="G55" i="2"/>
  <c r="E96" i="2"/>
  <c r="AD19" i="2"/>
  <c r="E100" i="2"/>
  <c r="G65" i="2"/>
  <c r="G90" i="2"/>
  <c r="F95" i="2"/>
  <c r="G95" i="2" s="1"/>
  <c r="F91" i="2"/>
  <c r="G91" i="2" s="1"/>
  <c r="F60" i="2"/>
  <c r="G60" i="2" s="1"/>
  <c r="F77" i="2"/>
  <c r="G77" i="2" s="1"/>
  <c r="F90" i="2"/>
  <c r="F82" i="2"/>
  <c r="G82" i="2" s="1"/>
  <c r="F88" i="2"/>
  <c r="G88" i="2" s="1"/>
  <c r="F84" i="2"/>
  <c r="G84" i="2" s="1"/>
  <c r="F76" i="2"/>
  <c r="F67" i="2"/>
  <c r="G67" i="2" s="1"/>
  <c r="F66" i="2"/>
  <c r="G66" i="2" s="1"/>
  <c r="F65" i="2"/>
  <c r="F64" i="2"/>
  <c r="G64" i="2" s="1"/>
  <c r="F69" i="2"/>
  <c r="G69" i="2" s="1"/>
  <c r="F63" i="2"/>
  <c r="G63" i="2" s="1"/>
  <c r="F58" i="2"/>
  <c r="G58" i="2" s="1"/>
  <c r="F86" i="2"/>
  <c r="F78" i="2"/>
  <c r="F56" i="2"/>
  <c r="F96" i="2" s="1"/>
  <c r="F70" i="2"/>
  <c r="N34" i="2"/>
  <c r="G76" i="2"/>
  <c r="G75" i="2"/>
  <c r="G59" i="2"/>
  <c r="G80" i="2"/>
  <c r="G56" i="2"/>
  <c r="G70" i="2"/>
  <c r="G86" i="2"/>
  <c r="AD14" i="2"/>
  <c r="G97" i="2"/>
  <c r="G96" i="2" l="1"/>
  <c r="F100" i="2"/>
  <c r="G100" i="2"/>
  <c r="L12" i="1" l="1"/>
  <c r="D99" i="1" l="1"/>
  <c r="H96" i="1"/>
  <c r="L67" i="1"/>
  <c r="L66" i="1"/>
  <c r="L65" i="1"/>
  <c r="L64" i="1"/>
  <c r="L63" i="1"/>
  <c r="N63" i="1" s="1"/>
  <c r="L62" i="1"/>
  <c r="N62" i="1" s="1"/>
  <c r="F44" i="1"/>
  <c r="K39" i="1"/>
  <c r="E97" i="1" s="1"/>
  <c r="H36" i="1"/>
  <c r="S34" i="1"/>
  <c r="S35" i="1" s="1"/>
  <c r="E106" i="1" s="1"/>
  <c r="H106" i="1" s="1"/>
  <c r="J34" i="1"/>
  <c r="L32" i="1"/>
  <c r="N32" i="1" s="1"/>
  <c r="L31" i="1"/>
  <c r="R31" i="1" s="1"/>
  <c r="L30" i="1"/>
  <c r="N30" i="1" s="1"/>
  <c r="L29" i="1"/>
  <c r="N29" i="1" s="1"/>
  <c r="L28" i="1"/>
  <c r="N28" i="1" s="1"/>
  <c r="L27" i="1"/>
  <c r="N27" i="1" s="1"/>
  <c r="F89" i="1" s="1"/>
  <c r="L26" i="1"/>
  <c r="N26" i="1" s="1"/>
  <c r="F57" i="1" s="1"/>
  <c r="L25" i="1"/>
  <c r="N25" i="1" s="1"/>
  <c r="L24" i="1"/>
  <c r="N24" i="1" s="1"/>
  <c r="L23" i="1"/>
  <c r="N23" i="1" s="1"/>
  <c r="F81" i="1" s="1"/>
  <c r="L22" i="1"/>
  <c r="N22" i="1" s="1"/>
  <c r="L21" i="1"/>
  <c r="N21" i="1" s="1"/>
  <c r="L20" i="1"/>
  <c r="N20" i="1" s="1"/>
  <c r="L19" i="1"/>
  <c r="N19" i="1" s="1"/>
  <c r="L18" i="1"/>
  <c r="N18" i="1" s="1"/>
  <c r="L17" i="1"/>
  <c r="N17" i="1" s="1"/>
  <c r="L16" i="1"/>
  <c r="P16" i="1" s="1"/>
  <c r="L15" i="1"/>
  <c r="P15" i="1" s="1"/>
  <c r="L14" i="1"/>
  <c r="N14" i="1" s="1"/>
  <c r="L13" i="1"/>
  <c r="N13" i="1" s="1"/>
  <c r="N12" i="1"/>
  <c r="L11" i="1"/>
  <c r="N11" i="1" s="1"/>
  <c r="L10" i="1"/>
  <c r="N10" i="1" s="1"/>
  <c r="L9" i="1"/>
  <c r="N9" i="1" s="1"/>
  <c r="L8" i="1"/>
  <c r="R8" i="1" s="1"/>
  <c r="L7" i="1"/>
  <c r="R7" i="1" s="1"/>
  <c r="L6" i="1"/>
  <c r="N6" i="1" s="1"/>
  <c r="E105" i="1" l="1"/>
  <c r="H105" i="1" s="1"/>
  <c r="E103" i="1"/>
  <c r="M36" i="1"/>
  <c r="R15" i="1"/>
  <c r="N7" i="1"/>
  <c r="N8" i="1"/>
  <c r="R14" i="1"/>
  <c r="K40" i="1"/>
  <c r="E95" i="1" s="1"/>
  <c r="P7" i="1"/>
  <c r="P8" i="1"/>
  <c r="F98" i="1"/>
  <c r="N60" i="1"/>
  <c r="N59" i="1"/>
  <c r="F97" i="1" s="1"/>
  <c r="N58" i="1"/>
  <c r="N57" i="1"/>
  <c r="F93" i="1" s="1"/>
  <c r="P6" i="1"/>
  <c r="N15" i="1"/>
  <c r="N16" i="1"/>
  <c r="R19" i="1"/>
  <c r="N31" i="1"/>
  <c r="P14" i="1"/>
  <c r="L34" i="1"/>
  <c r="E91" i="1" l="1"/>
  <c r="E67" i="1"/>
  <c r="E74" i="1"/>
  <c r="E57" i="1"/>
  <c r="G57" i="1" s="1"/>
  <c r="E60" i="1"/>
  <c r="E59" i="1"/>
  <c r="E77" i="1"/>
  <c r="E80" i="1"/>
  <c r="E90" i="1"/>
  <c r="E93" i="1"/>
  <c r="G93" i="1" s="1"/>
  <c r="E87" i="1"/>
  <c r="E76" i="1"/>
  <c r="E73" i="1"/>
  <c r="E70" i="1"/>
  <c r="E79" i="1"/>
  <c r="E83" i="1"/>
  <c r="E85" i="1"/>
  <c r="E88" i="1"/>
  <c r="E72" i="1"/>
  <c r="E65" i="1"/>
  <c r="E63" i="1"/>
  <c r="E82" i="1"/>
  <c r="E62" i="1"/>
  <c r="E55" i="1"/>
  <c r="E71" i="1"/>
  <c r="E69" i="1"/>
  <c r="E89" i="1"/>
  <c r="G89" i="1" s="1"/>
  <c r="E92" i="1"/>
  <c r="E66" i="1"/>
  <c r="E86" i="1"/>
  <c r="E56" i="1"/>
  <c r="E75" i="1"/>
  <c r="E81" i="1"/>
  <c r="G81" i="1" s="1"/>
  <c r="E84" i="1"/>
  <c r="E68" i="1"/>
  <c r="E64" i="1"/>
  <c r="E94" i="1"/>
  <c r="E78" i="1"/>
  <c r="E61" i="1"/>
  <c r="E58" i="1"/>
  <c r="G97" i="1"/>
  <c r="N34" i="1"/>
  <c r="F88" i="1"/>
  <c r="F67" i="1"/>
  <c r="G67" i="1" s="1"/>
  <c r="F64" i="1"/>
  <c r="F70" i="1"/>
  <c r="F77" i="1"/>
  <c r="G77" i="1" s="1"/>
  <c r="F69" i="1"/>
  <c r="F63" i="1"/>
  <c r="F58" i="1"/>
  <c r="F82" i="1"/>
  <c r="F78" i="1"/>
  <c r="F95" i="1"/>
  <c r="G95" i="1" s="1"/>
  <c r="F91" i="1"/>
  <c r="G91" i="1" s="1"/>
  <c r="F60" i="1"/>
  <c r="F84" i="1"/>
  <c r="F76" i="1"/>
  <c r="F66" i="1"/>
  <c r="F65" i="1"/>
  <c r="F90" i="1"/>
  <c r="F86" i="1"/>
  <c r="F56" i="1"/>
  <c r="F80" i="1"/>
  <c r="F62" i="1"/>
  <c r="F83" i="1"/>
  <c r="F79" i="1"/>
  <c r="F92" i="1"/>
  <c r="F72" i="1"/>
  <c r="F59" i="1"/>
  <c r="F94" i="1"/>
  <c r="F55" i="1"/>
  <c r="F85" i="1"/>
  <c r="F73" i="1"/>
  <c r="F74" i="1"/>
  <c r="F61" i="1"/>
  <c r="F87" i="1"/>
  <c r="F75" i="1"/>
  <c r="F71" i="1"/>
  <c r="F68" i="1"/>
  <c r="G79" i="1" l="1"/>
  <c r="G80" i="1"/>
  <c r="G73" i="1"/>
  <c r="G71" i="1"/>
  <c r="G74" i="1"/>
  <c r="G94" i="1"/>
  <c r="G75" i="1"/>
  <c r="G87" i="1"/>
  <c r="G72" i="1"/>
  <c r="G76" i="1"/>
  <c r="G64" i="1"/>
  <c r="E100" i="1"/>
  <c r="E96" i="1"/>
  <c r="G60" i="1"/>
  <c r="G83" i="1"/>
  <c r="G65" i="1"/>
  <c r="G68" i="1"/>
  <c r="G61" i="1"/>
  <c r="G92" i="1"/>
  <c r="G62" i="1"/>
  <c r="G56" i="1"/>
  <c r="G90" i="1"/>
  <c r="G66" i="1"/>
  <c r="G86" i="1"/>
  <c r="G59" i="1"/>
  <c r="G84" i="1"/>
  <c r="G78" i="1"/>
  <c r="G69" i="1"/>
  <c r="G63" i="1"/>
  <c r="G85" i="1"/>
  <c r="G82" i="1"/>
  <c r="G88" i="1"/>
  <c r="G58" i="1"/>
  <c r="G70" i="1"/>
  <c r="F96" i="1"/>
  <c r="G55" i="1"/>
  <c r="F100" i="1"/>
  <c r="G96" i="1" l="1"/>
  <c r="G100" i="1"/>
</calcChain>
</file>

<file path=xl/comments1.xml><?xml version="1.0" encoding="utf-8"?>
<comments xmlns="http://schemas.openxmlformats.org/spreadsheetml/2006/main">
  <authors>
    <author>Autor</author>
  </authors>
  <commentList>
    <comment ref="B106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bez CSS a PS Vracov, Bzenec, S-M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106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bez CSS a PS Vracov, Bzenec, S-M
</t>
        </r>
      </text>
    </comment>
  </commentList>
</comments>
</file>

<file path=xl/sharedStrings.xml><?xml version="1.0" encoding="utf-8"?>
<sst xmlns="http://schemas.openxmlformats.org/spreadsheetml/2006/main" count="369" uniqueCount="173">
  <si>
    <t>Poskytovatel</t>
  </si>
  <si>
    <t>Poskytovaná služba</t>
  </si>
  <si>
    <t>Úvazky</t>
  </si>
  <si>
    <t>rozpočet na 2026</t>
  </si>
  <si>
    <t>% spoluúčast dle požadavku JMK</t>
  </si>
  <si>
    <t>garance částky dle % požadavku JMK</t>
  </si>
  <si>
    <t>% spoluúčast ORP Kyjov</t>
  </si>
  <si>
    <t>ORP Kyjov</t>
  </si>
  <si>
    <t>% spoluúčast ORP Hodonín</t>
  </si>
  <si>
    <t>ORP Hodonín</t>
  </si>
  <si>
    <t>% spoluúčast ORP V. n. Mor.</t>
  </si>
  <si>
    <t>ORP V. n. Mor.</t>
  </si>
  <si>
    <t>ORP Kyjov - zaokrouhleno</t>
  </si>
  <si>
    <t>Centrum pro rodinu a sociální péči Hodonín</t>
  </si>
  <si>
    <t>Denní stacionář - Vlaštovka</t>
  </si>
  <si>
    <t>Centrum pro sluchově postižené Hodonínsko, o.p.s.</t>
  </si>
  <si>
    <t>Sociální rehabilitace</t>
  </si>
  <si>
    <t>Tlumočnické služby</t>
  </si>
  <si>
    <t>Centrum sociálních služeb, p.o. města Kyjova</t>
  </si>
  <si>
    <t>Azylové domy - rodiny s dětmi</t>
  </si>
  <si>
    <t>Sociálně aktivizační služby pro rodiny s dětmi</t>
  </si>
  <si>
    <t>Denní stacionář</t>
  </si>
  <si>
    <t>Osobní asistence</t>
  </si>
  <si>
    <t>Pečovatelská služba</t>
  </si>
  <si>
    <t>Diecézní charita Brno</t>
  </si>
  <si>
    <t>Nízkoprahové denní centrum</t>
  </si>
  <si>
    <t>Noclehárna Hodonín</t>
  </si>
  <si>
    <t>Pečovatelská služba Šardice</t>
  </si>
  <si>
    <t>Pečovatelská služba Ždánice</t>
  </si>
  <si>
    <t>DOTYK II, o.p.s.</t>
  </si>
  <si>
    <t>Raná péče</t>
  </si>
  <si>
    <t>Charita Kyjov</t>
  </si>
  <si>
    <t>Kontaktní centrum</t>
  </si>
  <si>
    <t>Odborné sociální poradenství</t>
  </si>
  <si>
    <t>Nízkoprahový klub Bárka</t>
  </si>
  <si>
    <t>Charitní pečovatelská služba Kyjov</t>
  </si>
  <si>
    <t>Pečovatelská služba Sv.-Mistřín</t>
  </si>
  <si>
    <t>Krok Kyjov, z.ú.</t>
  </si>
  <si>
    <t>Město Bzenec</t>
  </si>
  <si>
    <t>Pečovatelská služba Bzenec</t>
  </si>
  <si>
    <t>Město Vracov</t>
  </si>
  <si>
    <t>Pečovatelská služba Vracov</t>
  </si>
  <si>
    <t>1,8*</t>
  </si>
  <si>
    <t>Global Partner Péče, z. ú.</t>
  </si>
  <si>
    <t>Odlehčovací služba</t>
  </si>
  <si>
    <t xml:space="preserve">Společnost pro ranou péči, pobočka Brno </t>
  </si>
  <si>
    <t>Slezská diakonie</t>
  </si>
  <si>
    <t>Raná péče - Dorea</t>
  </si>
  <si>
    <t>Charita Strážnice</t>
  </si>
  <si>
    <t>Sociálně terapeutické dílny, Kotva</t>
  </si>
  <si>
    <t>Sociální rehabilitace Teres</t>
  </si>
  <si>
    <t>css</t>
  </si>
  <si>
    <t>min.síť</t>
  </si>
  <si>
    <r>
      <t>Celkové náklady na provoz "sítě" pro ORP Kyjov</t>
    </r>
    <r>
      <rPr>
        <sz val="12"/>
        <color theme="1"/>
        <rFont val="Calibri"/>
        <family val="2"/>
        <charset val="238"/>
      </rPr>
      <t>*</t>
    </r>
  </si>
  <si>
    <t>Celkové náklady bez CSS Kyjov, p.o. města Kyjova</t>
  </si>
  <si>
    <t>Z toho:</t>
  </si>
  <si>
    <r>
      <t>"Společný sociální fond"</t>
    </r>
    <r>
      <rPr>
        <sz val="12"/>
        <color theme="1"/>
        <rFont val="Calibri"/>
        <family val="2"/>
        <charset val="238"/>
      </rPr>
      <t>**</t>
    </r>
  </si>
  <si>
    <t xml:space="preserve">Z toho: </t>
  </si>
  <si>
    <t>3/5 město Kyjov</t>
  </si>
  <si>
    <t>2/5 spádové obce</t>
  </si>
  <si>
    <r>
      <t>"Pečovatelské služby"</t>
    </r>
    <r>
      <rPr>
        <sz val="12"/>
        <color theme="1"/>
        <rFont val="Calibri"/>
        <family val="2"/>
        <charset val="238"/>
      </rPr>
      <t>***</t>
    </r>
  </si>
  <si>
    <t>SLUŽBY ODBORNÉHO SOCIÁLNÍHO PORADENTVÍ</t>
  </si>
  <si>
    <t>SLUŽBY SOCIÁLNÍ PÉČE</t>
  </si>
  <si>
    <t>z toho PS</t>
  </si>
  <si>
    <t>SLUŽBY SOCIÁLNÍ PREVENCE</t>
  </si>
  <si>
    <t xml:space="preserve">* jde o povinné procentní spoluúčasti z předpokládaných reálných nákladů sociálních služeb působících na Kyjovsku, které byly vypočítány na základě metodiky Jihomoravského kraje </t>
  </si>
  <si>
    <t>** součet procentních spoluúčastí na provoz sociálních služeb působících v celém regionu Kyjovska (město Kyjov z toho hradí 3/5 a spádové obce 2/5) - jedná se o služby sociálního poradenství, péče i prevence</t>
  </si>
  <si>
    <t xml:space="preserve">*** součet procentních spoluúčastí na provoz lokálně působících služeb (pečovatelské služby + osobní asistence Centra sociálních služeb Kyjov, p.o. města Kyjova) </t>
  </si>
  <si>
    <t>obec</t>
  </si>
  <si>
    <t>počet obyvatel</t>
  </si>
  <si>
    <t>příspěvek do spol. soc. fondu</t>
  </si>
  <si>
    <t>příspěvek na PS</t>
  </si>
  <si>
    <t>příspěvek CELKEM</t>
  </si>
  <si>
    <t>Příspěvek zaokrouhlený na 100, příspěvek do sítě (bez PS Bzenec, S-M, Vracov)</t>
  </si>
  <si>
    <t>Příspěvek zřizovatele pro CSS, p.o. (PS+OA)</t>
  </si>
  <si>
    <t>Archlebov</t>
  </si>
  <si>
    <t>Příspěvek zřizovatele pro DPS Vracov</t>
  </si>
  <si>
    <t>Bukovany</t>
  </si>
  <si>
    <t>Příspěvek zřizovatele pro DPS Bzenec</t>
  </si>
  <si>
    <t>Bzenec</t>
  </si>
  <si>
    <t>bez PS</t>
  </si>
  <si>
    <t>Příspěvek pro PS Ždánice</t>
  </si>
  <si>
    <t>Z toho: 60% město Ždánice</t>
  </si>
  <si>
    <t>Čeložnice</t>
  </si>
  <si>
    <t>Příspěvek pro PS Svat.-Mistřín</t>
  </si>
  <si>
    <t>40% spádové obce</t>
  </si>
  <si>
    <t>Dambořice</t>
  </si>
  <si>
    <t>Příspěvek pro PS Charity Kyjov</t>
  </si>
  <si>
    <t>Z toho:3/5 město Kyjov</t>
  </si>
  <si>
    <t>Domanín</t>
  </si>
  <si>
    <t>Příspěvek pro PS Šardice</t>
  </si>
  <si>
    <t>Dražůvky</t>
  </si>
  <si>
    <t>Hovorany</t>
  </si>
  <si>
    <t>Počet obyvatel obcí užívající PS Ždánice</t>
  </si>
  <si>
    <t>Bez Ždánic</t>
  </si>
  <si>
    <t>Hýsly</t>
  </si>
  <si>
    <t>Počet obyvatel obcí užívající PS Charity Kyjov</t>
  </si>
  <si>
    <t xml:space="preserve">Bez ORP </t>
  </si>
  <si>
    <t>Ježov</t>
  </si>
  <si>
    <t>Počet obyvatel obcí užívající PS Šardice</t>
  </si>
  <si>
    <t>Kelčany</t>
  </si>
  <si>
    <t>Počet obyvatel obcí užívající PS Bzenec</t>
  </si>
  <si>
    <t>Kostelec</t>
  </si>
  <si>
    <t>Počet obyvatel obcí užívající PS Sv.-Mistřín</t>
  </si>
  <si>
    <t>Labuty</t>
  </si>
  <si>
    <t>Počet obyvatel obcí užívající PS Vracov</t>
  </si>
  <si>
    <t>Lovčice</t>
  </si>
  <si>
    <t>Milotice</t>
  </si>
  <si>
    <t>Moravany</t>
  </si>
  <si>
    <t>Mouchnice</t>
  </si>
  <si>
    <t>Rozdělení působnosti PS:</t>
  </si>
  <si>
    <t>Násedlovice</t>
  </si>
  <si>
    <t>Služba</t>
  </si>
  <si>
    <t>Působnost</t>
  </si>
  <si>
    <t>Nechvalín</t>
  </si>
  <si>
    <t>PS + OA CSS Kyjov</t>
  </si>
  <si>
    <t>Kyjov</t>
  </si>
  <si>
    <t>Nenkovice</t>
  </si>
  <si>
    <t>PS Bzenec</t>
  </si>
  <si>
    <t>Ostrovánky</t>
  </si>
  <si>
    <t>PS Svat.-Mistřín</t>
  </si>
  <si>
    <t>Svatobořice-Mistřín</t>
  </si>
  <si>
    <t>Skalka</t>
  </si>
  <si>
    <t>PS Vracov</t>
  </si>
  <si>
    <t>Vracov</t>
  </si>
  <si>
    <t>Skoronice</t>
  </si>
  <si>
    <t>PS Charita Kyjov</t>
  </si>
  <si>
    <t>Bukovany, Čeložnice, Domanín, Hýsly, Ježov, Kelčany, Kostelec, Kyjov, Labuty, Milotice, Moravany, Skalka, Skoronice, Sobůlky, Syrovín, Těmice, Vacenovice, Vlkoš, Vřesovice, Žádovice, Žeravice</t>
  </si>
  <si>
    <t>Sobůlky</t>
  </si>
  <si>
    <t>Stavěšice</t>
  </si>
  <si>
    <t>Strážovice</t>
  </si>
  <si>
    <t>Syrovín</t>
  </si>
  <si>
    <t>Šardice</t>
  </si>
  <si>
    <t>Těmice</t>
  </si>
  <si>
    <t>PS Šardice</t>
  </si>
  <si>
    <t>Hovorany, Stavěšice, Strážovice, Šardice</t>
  </si>
  <si>
    <t>Uhřice</t>
  </si>
  <si>
    <t>Vacenovice</t>
  </si>
  <si>
    <t>PS Ždánice</t>
  </si>
  <si>
    <t>Archlebov, Dambořice, Dražůvky, Lovčice, Mouchnice, Násedlovice, Nechvalín, Nenkovice, Ostrovánky, Uhřice, Věteřov, Žarošice, Ždánice, Želetice</t>
  </si>
  <si>
    <t>Věteřov</t>
  </si>
  <si>
    <t>Vlkoš</t>
  </si>
  <si>
    <t>Vřesovice</t>
  </si>
  <si>
    <t>Žádovice</t>
  </si>
  <si>
    <t>Žarošice</t>
  </si>
  <si>
    <t>Ždánice</t>
  </si>
  <si>
    <t>Želetice</t>
  </si>
  <si>
    <t>Žeravice</t>
  </si>
  <si>
    <t>Celkem spádové obce</t>
  </si>
  <si>
    <t>celkem bez ORP</t>
  </si>
  <si>
    <t>Celkem</t>
  </si>
  <si>
    <t>Celkové náklady minimální sítě</t>
  </si>
  <si>
    <t>(včetně PS Vracov, Bzenec, S-M a CSS)</t>
  </si>
  <si>
    <t>Příspěvek od obcí</t>
  </si>
  <si>
    <t>→</t>
  </si>
  <si>
    <t>rozdíl od roku 2025</t>
  </si>
  <si>
    <t>Minimální síť (dotační řízení Kyjov)</t>
  </si>
  <si>
    <t xml:space="preserve">CSS (OA, PS, DS,AD) příspěvek </t>
  </si>
  <si>
    <t>Podklady Minimální síť na rok 2027 a spolufinancování HOKYVE – vycházíme ze schválených částek na rok 2026</t>
  </si>
  <si>
    <t>Minimální síť sociálních služeb ORP Kyjov na rok 2027</t>
  </si>
  <si>
    <t>klienti Kyjovsko</t>
  </si>
  <si>
    <t>Hodonínsko</t>
  </si>
  <si>
    <t>Veselsko</t>
  </si>
  <si>
    <t>jiné ORP</t>
  </si>
  <si>
    <t>KISSOS</t>
  </si>
  <si>
    <t>HO_KY_VE</t>
  </si>
  <si>
    <t>% kyj</t>
  </si>
  <si>
    <t>%HO</t>
  </si>
  <si>
    <t>%Ve</t>
  </si>
  <si>
    <t>kontrolní součet</t>
  </si>
  <si>
    <t>Financování "Minimální sítě sociálních služeb na Kyjovsku pro r. 2027"</t>
  </si>
  <si>
    <t>Rezerva úvazků pro Denní stacionář za SPC Fénix</t>
  </si>
  <si>
    <t>rozdíl od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</si>
</sst>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Kč&quot;_-;\-* #,##0.00\ &quot;Kč&quot;_-;_-* &quot;-&quot;??\ &quot;Kč&quot;_-;_-@_-"/>
    <numFmt numFmtId="164" formatCode="#,##0.00\ &quot;Kč&quot;"/>
    <numFmt numFmtId="165" formatCode="_-* #,##0\ [$Kč-405]_-;\-* #,##0\ [$Kč-405]_-;_-* &quot;-&quot;\ [$Kč-405]_-;_-@_-"/>
    <numFmt numFmtId="166" formatCode="_-* #,##0.00\ [$Kč-405]_-;\-* #,##0.00\ [$Kč-405]_-;_-* &quot;-&quot;\ [$Kč-405]_-;_-@_-"/>
    <numFmt numFmtId="167" formatCode="_-* #,##0.00\ [$Kč-405]_-;\-* #,##0.00\ [$Kč-405]_-;_-* &quot;-&quot;??\ [$Kč-405]_-;_-@_-"/>
    <numFmt numFmtId="168" formatCode="_-* #,##0\ &quot;Kč&quot;_-;\-* #,##0\ &quot;Kč&quot;_-;_-* &quot;-&quot;??\ &quot;Kč&quot;_-;_-@_-"/>
    <numFmt numFmtId="169" formatCode="#,##0\ &quot;Kč&quot;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5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164" fontId="2" fillId="4" borderId="16" xfId="1" applyNumberFormat="1" applyFill="1" applyBorder="1"/>
    <xf numFmtId="10" fontId="2" fillId="4" borderId="16" xfId="1" applyNumberFormat="1" applyFill="1" applyBorder="1"/>
    <xf numFmtId="10" fontId="5" fillId="4" borderId="16" xfId="1" applyNumberFormat="1" applyFont="1" applyFill="1" applyBorder="1"/>
    <xf numFmtId="164" fontId="5" fillId="4" borderId="16" xfId="1" applyNumberFormat="1" applyFont="1" applyFill="1" applyBorder="1"/>
    <xf numFmtId="0" fontId="2" fillId="4" borderId="16" xfId="1" applyFill="1" applyBorder="1"/>
    <xf numFmtId="164" fontId="2" fillId="4" borderId="17" xfId="1" applyNumberFormat="1" applyFill="1" applyBorder="1"/>
    <xf numFmtId="2" fontId="2" fillId="6" borderId="19" xfId="1" applyNumberFormat="1" applyFill="1" applyBorder="1"/>
    <xf numFmtId="164" fontId="2" fillId="6" borderId="19" xfId="1" applyNumberFormat="1" applyFill="1" applyBorder="1"/>
    <xf numFmtId="10" fontId="2" fillId="6" borderId="19" xfId="1" applyNumberFormat="1" applyFill="1" applyBorder="1"/>
    <xf numFmtId="10" fontId="5" fillId="6" borderId="19" xfId="1" applyNumberFormat="1" applyFont="1" applyFill="1" applyBorder="1"/>
    <xf numFmtId="164" fontId="5" fillId="6" borderId="19" xfId="1" applyNumberFormat="1" applyFont="1" applyFill="1" applyBorder="1"/>
    <xf numFmtId="164" fontId="2" fillId="6" borderId="20" xfId="1" applyNumberFormat="1" applyFill="1" applyBorder="1"/>
    <xf numFmtId="2" fontId="2" fillId="6" borderId="22" xfId="1" applyNumberFormat="1" applyFill="1" applyBorder="1"/>
    <xf numFmtId="164" fontId="2" fillId="6" borderId="22" xfId="1" applyNumberFormat="1" applyFill="1" applyBorder="1"/>
    <xf numFmtId="10" fontId="2" fillId="6" borderId="22" xfId="1" applyNumberFormat="1" applyFill="1" applyBorder="1"/>
    <xf numFmtId="10" fontId="5" fillId="6" borderId="22" xfId="1" applyNumberFormat="1" applyFont="1" applyFill="1" applyBorder="1"/>
    <xf numFmtId="164" fontId="5" fillId="6" borderId="23" xfId="1" applyNumberFormat="1" applyFont="1" applyFill="1" applyBorder="1"/>
    <xf numFmtId="164" fontId="2" fillId="6" borderId="23" xfId="1" applyNumberFormat="1" applyFill="1" applyBorder="1"/>
    <xf numFmtId="10" fontId="2" fillId="6" borderId="24" xfId="1" applyNumberFormat="1" applyFill="1" applyBorder="1"/>
    <xf numFmtId="164" fontId="2" fillId="6" borderId="25" xfId="1" applyNumberFormat="1" applyFill="1" applyBorder="1"/>
    <xf numFmtId="2" fontId="2" fillId="4" borderId="27" xfId="1" applyNumberFormat="1" applyFont="1" applyFill="1" applyBorder="1"/>
    <xf numFmtId="164" fontId="2" fillId="4" borderId="27" xfId="1" applyNumberFormat="1" applyFill="1" applyBorder="1"/>
    <xf numFmtId="10" fontId="2" fillId="4" borderId="27" xfId="1" applyNumberFormat="1" applyFont="1" applyFill="1" applyBorder="1"/>
    <xf numFmtId="10" fontId="5" fillId="4" borderId="28" xfId="1" applyNumberFormat="1" applyFont="1" applyFill="1" applyBorder="1"/>
    <xf numFmtId="164" fontId="5" fillId="4" borderId="28" xfId="1" applyNumberFormat="1" applyFont="1" applyFill="1" applyBorder="1"/>
    <xf numFmtId="0" fontId="2" fillId="4" borderId="27" xfId="1" applyFill="1" applyBorder="1"/>
    <xf numFmtId="0" fontId="2" fillId="4" borderId="28" xfId="1" applyFill="1" applyBorder="1"/>
    <xf numFmtId="0" fontId="2" fillId="4" borderId="29" xfId="1" applyFill="1" applyBorder="1"/>
    <xf numFmtId="0" fontId="2" fillId="4" borderId="30" xfId="1" applyFont="1" applyFill="1" applyBorder="1" applyAlignment="1"/>
    <xf numFmtId="164" fontId="2" fillId="4" borderId="31" xfId="1" applyNumberFormat="1" applyFill="1" applyBorder="1"/>
    <xf numFmtId="10" fontId="5" fillId="4" borderId="19" xfId="1" applyNumberFormat="1" applyFont="1" applyFill="1" applyBorder="1"/>
    <xf numFmtId="164" fontId="5" fillId="4" borderId="19" xfId="1" applyNumberFormat="1" applyFont="1" applyFill="1" applyBorder="1"/>
    <xf numFmtId="0" fontId="2" fillId="4" borderId="19" xfId="1" applyFill="1" applyBorder="1"/>
    <xf numFmtId="0" fontId="2" fillId="4" borderId="32" xfId="1" applyFill="1" applyBorder="1"/>
    <xf numFmtId="0" fontId="2" fillId="4" borderId="33" xfId="1" applyFont="1" applyFill="1" applyBorder="1" applyAlignment="1"/>
    <xf numFmtId="164" fontId="2" fillId="4" borderId="23" xfId="1" applyNumberFormat="1" applyFill="1" applyBorder="1"/>
    <xf numFmtId="0" fontId="2" fillId="4" borderId="34" xfId="1" applyFill="1" applyBorder="1"/>
    <xf numFmtId="2" fontId="2" fillId="5" borderId="27" xfId="1" applyNumberFormat="1" applyFont="1" applyFill="1" applyBorder="1"/>
    <xf numFmtId="10" fontId="5" fillId="4" borderId="27" xfId="1" applyNumberFormat="1" applyFont="1" applyFill="1" applyBorder="1"/>
    <xf numFmtId="164" fontId="5" fillId="4" borderId="23" xfId="1" applyNumberFormat="1" applyFont="1" applyFill="1" applyBorder="1"/>
    <xf numFmtId="164" fontId="2" fillId="4" borderId="35" xfId="1" applyNumberFormat="1" applyFill="1" applyBorder="1"/>
    <xf numFmtId="164" fontId="5" fillId="4" borderId="34" xfId="1" applyNumberFormat="1" applyFont="1" applyFill="1" applyBorder="1"/>
    <xf numFmtId="164" fontId="2" fillId="4" borderId="19" xfId="1" applyNumberFormat="1" applyFill="1" applyBorder="1"/>
    <xf numFmtId="164" fontId="2" fillId="4" borderId="25" xfId="1" applyNumberFormat="1" applyFill="1" applyBorder="1"/>
    <xf numFmtId="2" fontId="2" fillId="6" borderId="28" xfId="1" applyNumberFormat="1" applyFill="1" applyBorder="1"/>
    <xf numFmtId="164" fontId="2" fillId="6" borderId="28" xfId="1" applyNumberFormat="1" applyFill="1" applyBorder="1"/>
    <xf numFmtId="10" fontId="2" fillId="6" borderId="28" xfId="1" applyNumberFormat="1" applyFill="1" applyBorder="1"/>
    <xf numFmtId="10" fontId="5" fillId="6" borderId="39" xfId="1" applyNumberFormat="1" applyFont="1" applyFill="1" applyBorder="1"/>
    <xf numFmtId="164" fontId="5" fillId="6" borderId="39" xfId="1" applyNumberFormat="1" applyFont="1" applyFill="1" applyBorder="1"/>
    <xf numFmtId="10" fontId="2" fillId="6" borderId="39" xfId="1" applyNumberFormat="1" applyFill="1" applyBorder="1"/>
    <xf numFmtId="164" fontId="2" fillId="6" borderId="39" xfId="1" applyNumberFormat="1" applyFill="1" applyBorder="1"/>
    <xf numFmtId="164" fontId="2" fillId="6" borderId="31" xfId="1" applyNumberFormat="1" applyFill="1" applyBorder="1"/>
    <xf numFmtId="2" fontId="2" fillId="6" borderId="27" xfId="1" applyNumberFormat="1" applyFill="1" applyBorder="1"/>
    <xf numFmtId="164" fontId="2" fillId="6" borderId="27" xfId="1" applyNumberFormat="1" applyFill="1" applyBorder="1"/>
    <xf numFmtId="10" fontId="2" fillId="6" borderId="27" xfId="1" applyNumberFormat="1" applyFill="1" applyBorder="1"/>
    <xf numFmtId="10" fontId="5" fillId="6" borderId="27" xfId="1" applyNumberFormat="1" applyFont="1" applyFill="1" applyBorder="1"/>
    <xf numFmtId="164" fontId="5" fillId="6" borderId="27" xfId="1" applyNumberFormat="1" applyFont="1" applyFill="1" applyBorder="1"/>
    <xf numFmtId="164" fontId="2" fillId="6" borderId="35" xfId="1" applyNumberFormat="1" applyFill="1" applyBorder="1"/>
    <xf numFmtId="0" fontId="2" fillId="6" borderId="27" xfId="1" applyFill="1" applyBorder="1"/>
    <xf numFmtId="0" fontId="2" fillId="6" borderId="22" xfId="1" applyFill="1" applyBorder="1"/>
    <xf numFmtId="2" fontId="2" fillId="7" borderId="43" xfId="1" applyNumberFormat="1" applyFill="1" applyBorder="1"/>
    <xf numFmtId="10" fontId="5" fillId="4" borderId="16" xfId="1" applyNumberFormat="1" applyFont="1" applyFill="1" applyBorder="1" applyAlignment="1">
      <alignment horizontal="right"/>
    </xf>
    <xf numFmtId="0" fontId="2" fillId="4" borderId="16" xfId="1" applyFill="1" applyBorder="1" applyAlignment="1">
      <alignment horizontal="right"/>
    </xf>
    <xf numFmtId="164" fontId="2" fillId="4" borderId="28" xfId="1" applyNumberFormat="1" applyFill="1" applyBorder="1"/>
    <xf numFmtId="164" fontId="2" fillId="4" borderId="44" xfId="1" applyNumberFormat="1" applyFill="1" applyBorder="1"/>
    <xf numFmtId="10" fontId="5" fillId="6" borderId="28" xfId="1" applyNumberFormat="1" applyFont="1" applyFill="1" applyBorder="1"/>
    <xf numFmtId="0" fontId="2" fillId="6" borderId="28" xfId="1" applyFill="1" applyBorder="1"/>
    <xf numFmtId="0" fontId="2" fillId="6" borderId="23" xfId="1" applyFill="1" applyBorder="1"/>
    <xf numFmtId="164" fontId="2" fillId="6" borderId="33" xfId="1" applyNumberFormat="1" applyFill="1" applyBorder="1"/>
    <xf numFmtId="164" fontId="5" fillId="6" borderId="34" xfId="1" applyNumberFormat="1" applyFont="1" applyFill="1" applyBorder="1"/>
    <xf numFmtId="0" fontId="2" fillId="6" borderId="34" xfId="1" applyFill="1" applyBorder="1"/>
    <xf numFmtId="2" fontId="2" fillId="4" borderId="28" xfId="1" applyNumberFormat="1" applyFill="1" applyBorder="1"/>
    <xf numFmtId="10" fontId="2" fillId="4" borderId="19" xfId="1" applyNumberFormat="1" applyFill="1" applyBorder="1"/>
    <xf numFmtId="164" fontId="2" fillId="4" borderId="30" xfId="1" applyNumberFormat="1" applyFill="1" applyBorder="1"/>
    <xf numFmtId="2" fontId="2" fillId="4" borderId="24" xfId="1" applyNumberFormat="1" applyFill="1" applyBorder="1"/>
    <xf numFmtId="10" fontId="2" fillId="4" borderId="23" xfId="1" applyNumberFormat="1" applyFill="1" applyBorder="1"/>
    <xf numFmtId="10" fontId="5" fillId="4" borderId="23" xfId="1" applyNumberFormat="1" applyFont="1" applyFill="1" applyBorder="1"/>
    <xf numFmtId="0" fontId="2" fillId="4" borderId="23" xfId="1" applyFill="1" applyBorder="1"/>
    <xf numFmtId="2" fontId="2" fillId="6" borderId="16" xfId="1" applyNumberFormat="1" applyFill="1" applyBorder="1"/>
    <xf numFmtId="164" fontId="2" fillId="6" borderId="16" xfId="1" applyNumberFormat="1" applyFill="1" applyBorder="1"/>
    <xf numFmtId="10" fontId="2" fillId="6" borderId="16" xfId="1" applyNumberFormat="1" applyFill="1" applyBorder="1"/>
    <xf numFmtId="10" fontId="5" fillId="6" borderId="16" xfId="1" applyNumberFormat="1" applyFont="1" applyFill="1" applyBorder="1"/>
    <xf numFmtId="164" fontId="5" fillId="6" borderId="16" xfId="1" applyNumberFormat="1" applyFont="1" applyFill="1" applyBorder="1"/>
    <xf numFmtId="0" fontId="2" fillId="6" borderId="16" xfId="1" applyFill="1" applyBorder="1"/>
    <xf numFmtId="164" fontId="2" fillId="6" borderId="44" xfId="1" applyNumberFormat="1" applyFill="1" applyBorder="1"/>
    <xf numFmtId="2" fontId="2" fillId="4" borderId="16" xfId="1" applyNumberFormat="1" applyFill="1" applyBorder="1"/>
    <xf numFmtId="10" fontId="5" fillId="6" borderId="16" xfId="1" applyNumberFormat="1" applyFont="1" applyFill="1" applyBorder="1" applyAlignment="1">
      <alignment horizontal="right"/>
    </xf>
    <xf numFmtId="0" fontId="2" fillId="6" borderId="16" xfId="1" applyFill="1" applyBorder="1" applyAlignment="1">
      <alignment horizontal="right"/>
    </xf>
    <xf numFmtId="164" fontId="2" fillId="6" borderId="17" xfId="1" applyNumberFormat="1" applyFill="1" applyBorder="1"/>
    <xf numFmtId="164" fontId="5" fillId="4" borderId="24" xfId="1" applyNumberFormat="1" applyFont="1" applyFill="1" applyBorder="1"/>
    <xf numFmtId="164" fontId="2" fillId="0" borderId="0" xfId="1" applyNumberFormat="1" applyAlignment="1">
      <alignment vertical="top"/>
    </xf>
    <xf numFmtId="0" fontId="2" fillId="0" borderId="0" xfId="1" applyAlignment="1">
      <alignment vertical="top"/>
    </xf>
    <xf numFmtId="164" fontId="2" fillId="0" borderId="0" xfId="1" applyNumberFormat="1"/>
    <xf numFmtId="164" fontId="1" fillId="0" borderId="0" xfId="1" applyNumberFormat="1" applyFont="1" applyAlignment="1"/>
    <xf numFmtId="0" fontId="1" fillId="0" borderId="0" xfId="1" applyFont="1"/>
    <xf numFmtId="164" fontId="1" fillId="0" borderId="0" xfId="1" applyNumberFormat="1" applyFont="1"/>
    <xf numFmtId="0" fontId="8" fillId="0" borderId="0" xfId="1" applyFont="1" applyAlignment="1">
      <alignment vertical="top"/>
    </xf>
    <xf numFmtId="164" fontId="10" fillId="0" borderId="0" xfId="1" applyNumberFormat="1" applyFont="1" applyFill="1" applyAlignment="1">
      <alignment horizontal="right" vertical="top"/>
    </xf>
    <xf numFmtId="164" fontId="1" fillId="4" borderId="14" xfId="1" applyNumberFormat="1" applyFont="1" applyFill="1" applyBorder="1"/>
    <xf numFmtId="164" fontId="10" fillId="0" borderId="0" xfId="1" applyNumberFormat="1" applyFont="1" applyFill="1" applyAlignment="1">
      <alignment vertical="top"/>
    </xf>
    <xf numFmtId="165" fontId="1" fillId="0" borderId="0" xfId="1" applyNumberFormat="1" applyFont="1" applyFill="1" applyAlignment="1">
      <alignment vertical="top"/>
    </xf>
    <xf numFmtId="166" fontId="10" fillId="0" borderId="0" xfId="1" applyNumberFormat="1" applyFont="1" applyFill="1" applyAlignment="1">
      <alignment horizontal="right" vertical="top"/>
    </xf>
    <xf numFmtId="166" fontId="2" fillId="0" borderId="0" xfId="1" applyNumberFormat="1" applyFont="1" applyFill="1" applyAlignment="1">
      <alignment vertical="top"/>
    </xf>
    <xf numFmtId="167" fontId="2" fillId="0" borderId="0" xfId="1" applyNumberFormat="1"/>
    <xf numFmtId="165" fontId="10" fillId="0" borderId="0" xfId="1" applyNumberFormat="1" applyFont="1" applyFill="1" applyAlignment="1">
      <alignment vertical="top"/>
    </xf>
    <xf numFmtId="0" fontId="2" fillId="0" borderId="0" xfId="1" applyAlignment="1">
      <alignment horizontal="left" vertical="top"/>
    </xf>
    <xf numFmtId="168" fontId="2" fillId="0" borderId="0" xfId="1" applyNumberFormat="1" applyAlignment="1">
      <alignment vertical="top"/>
    </xf>
    <xf numFmtId="169" fontId="2" fillId="0" borderId="0" xfId="1" applyNumberFormat="1" applyAlignment="1">
      <alignment vertical="top"/>
    </xf>
    <xf numFmtId="0" fontId="2" fillId="0" borderId="0" xfId="1" applyAlignment="1">
      <alignment horizontal="right" vertical="top"/>
    </xf>
    <xf numFmtId="164" fontId="2" fillId="0" borderId="0" xfId="1" applyNumberFormat="1" applyFont="1" applyAlignment="1">
      <alignment horizontal="right" vertical="center"/>
    </xf>
    <xf numFmtId="169" fontId="2" fillId="0" borderId="0" xfId="1" applyNumberFormat="1"/>
    <xf numFmtId="168" fontId="2" fillId="0" borderId="0" xfId="1" applyNumberFormat="1"/>
    <xf numFmtId="44" fontId="2" fillId="0" borderId="0" xfId="1" applyNumberFormat="1" applyAlignment="1">
      <alignment vertical="top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52" xfId="1" applyFont="1" applyFill="1" applyBorder="1" applyAlignment="1">
      <alignment horizontal="center" vertical="center" wrapText="1"/>
    </xf>
    <xf numFmtId="166" fontId="2" fillId="0" borderId="27" xfId="1" applyNumberFormat="1" applyFont="1" applyFill="1" applyBorder="1" applyAlignment="1">
      <alignment vertical="center"/>
    </xf>
    <xf numFmtId="0" fontId="2" fillId="5" borderId="52" xfId="1" applyFill="1" applyBorder="1"/>
    <xf numFmtId="164" fontId="2" fillId="0" borderId="52" xfId="1" applyNumberFormat="1" applyBorder="1"/>
    <xf numFmtId="164" fontId="2" fillId="8" borderId="13" xfId="1" applyNumberFormat="1" applyFill="1" applyBorder="1"/>
    <xf numFmtId="0" fontId="13" fillId="9" borderId="27" xfId="1" applyFont="1" applyFill="1" applyBorder="1" applyAlignment="1">
      <alignment horizontal="left" vertical="top"/>
    </xf>
    <xf numFmtId="164" fontId="13" fillId="9" borderId="27" xfId="1" applyNumberFormat="1" applyFont="1" applyFill="1" applyBorder="1" applyAlignment="1">
      <alignment horizontal="right" vertical="top"/>
    </xf>
    <xf numFmtId="0" fontId="2" fillId="5" borderId="10" xfId="1" applyFill="1" applyBorder="1"/>
    <xf numFmtId="164" fontId="2" fillId="0" borderId="10" xfId="1" applyNumberFormat="1" applyBorder="1"/>
    <xf numFmtId="164" fontId="2" fillId="10" borderId="0" xfId="1" applyNumberFormat="1" applyFill="1" applyBorder="1"/>
    <xf numFmtId="0" fontId="2" fillId="11" borderId="27" xfId="1" applyFill="1" applyBorder="1" applyAlignment="1">
      <alignment horizontal="left" vertical="top"/>
    </xf>
    <xf numFmtId="166" fontId="2" fillId="11" borderId="27" xfId="1" applyNumberFormat="1" applyFont="1" applyFill="1" applyBorder="1" applyAlignment="1">
      <alignment vertical="top"/>
    </xf>
    <xf numFmtId="164" fontId="2" fillId="11" borderId="13" xfId="1" applyNumberFormat="1" applyFill="1" applyBorder="1"/>
    <xf numFmtId="166" fontId="2" fillId="8" borderId="27" xfId="1" applyNumberFormat="1" applyFont="1" applyFill="1" applyBorder="1" applyAlignment="1">
      <alignment vertical="top"/>
    </xf>
    <xf numFmtId="0" fontId="14" fillId="8" borderId="32" xfId="1" applyFont="1" applyFill="1" applyBorder="1"/>
    <xf numFmtId="167" fontId="14" fillId="8" borderId="53" xfId="1" applyNumberFormat="1" applyFont="1" applyFill="1" applyBorder="1"/>
    <xf numFmtId="166" fontId="2" fillId="12" borderId="27" xfId="1" applyNumberFormat="1" applyFont="1" applyFill="1" applyBorder="1" applyAlignment="1">
      <alignment vertical="top"/>
    </xf>
    <xf numFmtId="0" fontId="2" fillId="0" borderId="54" xfId="1" applyBorder="1" applyAlignment="1">
      <alignment horizontal="right"/>
    </xf>
    <xf numFmtId="167" fontId="2" fillId="0" borderId="48" xfId="1" applyNumberFormat="1" applyBorder="1"/>
    <xf numFmtId="166" fontId="2" fillId="10" borderId="27" xfId="1" applyNumberFormat="1" applyFont="1" applyFill="1" applyBorder="1" applyAlignment="1">
      <alignment vertical="top"/>
    </xf>
    <xf numFmtId="0" fontId="2" fillId="10" borderId="32" xfId="1" applyFill="1" applyBorder="1"/>
    <xf numFmtId="164" fontId="2" fillId="10" borderId="53" xfId="1" applyNumberFormat="1" applyFill="1" applyBorder="1"/>
    <xf numFmtId="166" fontId="2" fillId="13" borderId="27" xfId="1" applyNumberFormat="1" applyFont="1" applyFill="1" applyBorder="1" applyAlignment="1">
      <alignment vertical="top"/>
    </xf>
    <xf numFmtId="164" fontId="2" fillId="0" borderId="48" xfId="1" applyNumberFormat="1" applyBorder="1"/>
    <xf numFmtId="166" fontId="1" fillId="0" borderId="0" xfId="1" applyNumberFormat="1" applyFont="1"/>
    <xf numFmtId="164" fontId="2" fillId="13" borderId="0" xfId="1" applyNumberFormat="1" applyFill="1" applyBorder="1"/>
    <xf numFmtId="0" fontId="2" fillId="8" borderId="27" xfId="1" applyFill="1" applyBorder="1" applyAlignment="1">
      <alignment horizontal="left"/>
    </xf>
    <xf numFmtId="0" fontId="2" fillId="8" borderId="27" xfId="1" applyFill="1" applyBorder="1"/>
    <xf numFmtId="0" fontId="2" fillId="0" borderId="27" xfId="1" applyFill="1" applyBorder="1" applyAlignment="1">
      <alignment horizontal="right"/>
    </xf>
    <xf numFmtId="0" fontId="2" fillId="0" borderId="27" xfId="1" applyBorder="1"/>
    <xf numFmtId="164" fontId="2" fillId="10" borderId="13" xfId="1" applyNumberFormat="1" applyFill="1" applyBorder="1"/>
    <xf numFmtId="0" fontId="2" fillId="10" borderId="27" xfId="1" applyFill="1" applyBorder="1" applyAlignment="1">
      <alignment horizontal="left"/>
    </xf>
    <xf numFmtId="0" fontId="2" fillId="10" borderId="27" xfId="1" applyFill="1" applyBorder="1"/>
    <xf numFmtId="0" fontId="2" fillId="0" borderId="27" xfId="1" applyBorder="1" applyAlignment="1">
      <alignment horizontal="right"/>
    </xf>
    <xf numFmtId="0" fontId="2" fillId="13" borderId="27" xfId="1" applyFill="1" applyBorder="1" applyAlignment="1">
      <alignment horizontal="left"/>
    </xf>
    <xf numFmtId="0" fontId="2" fillId="13" borderId="27" xfId="1" applyFill="1" applyBorder="1"/>
    <xf numFmtId="0" fontId="2" fillId="11" borderId="27" xfId="1" applyFill="1" applyBorder="1" applyAlignment="1">
      <alignment horizontal="left"/>
    </xf>
    <xf numFmtId="0" fontId="2" fillId="11" borderId="27" xfId="1" applyFill="1" applyBorder="1"/>
    <xf numFmtId="0" fontId="2" fillId="12" borderId="27" xfId="1" applyFill="1" applyBorder="1" applyAlignment="1">
      <alignment horizontal="left"/>
    </xf>
    <xf numFmtId="0" fontId="2" fillId="12" borderId="27" xfId="1" applyFill="1" applyBorder="1"/>
    <xf numFmtId="0" fontId="2" fillId="9" borderId="27" xfId="1" applyFill="1" applyBorder="1" applyAlignment="1">
      <alignment horizontal="left"/>
    </xf>
    <xf numFmtId="0" fontId="2" fillId="9" borderId="27" xfId="1" applyFill="1" applyBorder="1"/>
    <xf numFmtId="164" fontId="2" fillId="8" borderId="0" xfId="1" applyNumberFormat="1" applyFill="1" applyBorder="1"/>
    <xf numFmtId="0" fontId="2" fillId="0" borderId="47" xfId="1" applyBorder="1"/>
    <xf numFmtId="0" fontId="2" fillId="0" borderId="23" xfId="1" applyBorder="1"/>
    <xf numFmtId="0" fontId="2" fillId="0" borderId="0" xfId="1" applyFill="1"/>
    <xf numFmtId="164" fontId="2" fillId="13" borderId="13" xfId="1" applyNumberFormat="1" applyFill="1" applyBorder="1"/>
    <xf numFmtId="164" fontId="2" fillId="12" borderId="13" xfId="1" applyNumberFormat="1" applyFill="1" applyBorder="1"/>
    <xf numFmtId="164" fontId="2" fillId="9" borderId="13" xfId="1" applyNumberFormat="1" applyFill="1" applyBorder="1"/>
    <xf numFmtId="164" fontId="2" fillId="0" borderId="10" xfId="1" applyNumberFormat="1" applyFill="1" applyBorder="1"/>
    <xf numFmtId="164" fontId="2" fillId="0" borderId="0" xfId="1" applyNumberFormat="1" applyFill="1" applyBorder="1"/>
    <xf numFmtId="164" fontId="2" fillId="0" borderId="52" xfId="1" applyNumberFormat="1" applyFill="1" applyBorder="1"/>
    <xf numFmtId="0" fontId="2" fillId="0" borderId="0" xfId="1" applyFill="1" applyBorder="1"/>
    <xf numFmtId="164" fontId="2" fillId="0" borderId="0" xfId="1" applyNumberFormat="1" applyAlignment="1">
      <alignment horizontal="left"/>
    </xf>
    <xf numFmtId="164" fontId="1" fillId="0" borderId="0" xfId="1" applyNumberFormat="1" applyFont="1" applyAlignment="1">
      <alignment horizontal="right"/>
    </xf>
    <xf numFmtId="164" fontId="2" fillId="10" borderId="37" xfId="1" applyNumberFormat="1" applyFill="1" applyBorder="1"/>
    <xf numFmtId="0" fontId="2" fillId="0" borderId="0" xfId="1" applyAlignment="1">
      <alignment horizontal="left"/>
    </xf>
    <xf numFmtId="164" fontId="2" fillId="0" borderId="6" xfId="1" applyNumberFormat="1" applyBorder="1"/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Border="1" applyAlignment="1">
      <alignment vertical="center" wrapText="1"/>
    </xf>
    <xf numFmtId="0" fontId="2" fillId="0" borderId="0" xfId="1" applyAlignment="1">
      <alignment horizontal="left" wrapText="1"/>
    </xf>
    <xf numFmtId="164" fontId="2" fillId="0" borderId="27" xfId="1" applyNumberFormat="1" applyBorder="1" applyAlignment="1">
      <alignment horizontal="center"/>
    </xf>
    <xf numFmtId="164" fontId="2" fillId="0" borderId="27" xfId="1" applyNumberFormat="1" applyBorder="1"/>
    <xf numFmtId="0" fontId="2" fillId="0" borderId="52" xfId="1" applyBorder="1" applyAlignment="1">
      <alignment horizontal="center"/>
    </xf>
    <xf numFmtId="164" fontId="10" fillId="0" borderId="4" xfId="1" applyNumberFormat="1" applyFont="1" applyFill="1" applyBorder="1" applyAlignment="1">
      <alignment horizontal="right" vertical="top"/>
    </xf>
    <xf numFmtId="164" fontId="15" fillId="0" borderId="0" xfId="1" applyNumberFormat="1" applyFont="1" applyBorder="1" applyAlignment="1">
      <alignment horizontal="center"/>
    </xf>
    <xf numFmtId="0" fontId="2" fillId="0" borderId="0" xfId="1" applyBorder="1"/>
    <xf numFmtId="164" fontId="10" fillId="0" borderId="0" xfId="1" applyNumberFormat="1" applyFont="1" applyFill="1" applyBorder="1" applyAlignment="1">
      <alignment horizontal="right" vertical="top"/>
    </xf>
    <xf numFmtId="0" fontId="2" fillId="0" borderId="11" xfId="1" applyBorder="1" applyAlignment="1">
      <alignment wrapText="1"/>
    </xf>
    <xf numFmtId="164" fontId="10" fillId="0" borderId="52" xfId="1" applyNumberFormat="1" applyFont="1" applyFill="1" applyBorder="1" applyAlignment="1">
      <alignment horizontal="right" vertical="top"/>
    </xf>
    <xf numFmtId="164" fontId="15" fillId="0" borderId="12" xfId="1" applyNumberFormat="1" applyFont="1" applyBorder="1" applyAlignment="1">
      <alignment horizontal="center"/>
    </xf>
    <xf numFmtId="0" fontId="2" fillId="0" borderId="13" xfId="1" applyBorder="1"/>
    <xf numFmtId="164" fontId="10" fillId="0" borderId="14" xfId="1" applyNumberFormat="1" applyFont="1" applyFill="1" applyBorder="1" applyAlignment="1">
      <alignment horizontal="right" vertical="top"/>
    </xf>
    <xf numFmtId="164" fontId="10" fillId="0" borderId="11" xfId="1" applyNumberFormat="1" applyFont="1" applyFill="1" applyBorder="1" applyAlignment="1">
      <alignment horizontal="right" vertical="top"/>
    </xf>
    <xf numFmtId="164" fontId="15" fillId="0" borderId="6" xfId="1" applyNumberFormat="1" applyFont="1" applyBorder="1" applyAlignment="1">
      <alignment horizontal="center"/>
    </xf>
    <xf numFmtId="164" fontId="10" fillId="0" borderId="7" xfId="1" applyNumberFormat="1" applyFont="1" applyFill="1" applyBorder="1" applyAlignment="1">
      <alignment horizontal="right" vertical="top"/>
    </xf>
    <xf numFmtId="164" fontId="10" fillId="0" borderId="2" xfId="1" applyNumberFormat="1" applyFont="1" applyFill="1" applyBorder="1" applyAlignment="1">
      <alignment horizontal="right" vertical="top"/>
    </xf>
    <xf numFmtId="0" fontId="0" fillId="0" borderId="27" xfId="0" applyBorder="1" applyAlignment="1">
      <alignment wrapText="1"/>
    </xf>
    <xf numFmtId="0" fontId="1" fillId="0" borderId="27" xfId="0" applyFont="1" applyBorder="1" applyAlignment="1">
      <alignment wrapText="1"/>
    </xf>
    <xf numFmtId="0" fontId="18" fillId="0" borderId="27" xfId="0" applyFont="1" applyBorder="1" applyAlignment="1">
      <alignment wrapText="1"/>
    </xf>
    <xf numFmtId="164" fontId="2" fillId="4" borderId="43" xfId="1" applyNumberFormat="1" applyFill="1" applyBorder="1"/>
    <xf numFmtId="164" fontId="2" fillId="6" borderId="54" xfId="1" applyNumberFormat="1" applyFill="1" applyBorder="1"/>
    <xf numFmtId="164" fontId="2" fillId="6" borderId="57" xfId="1" applyNumberFormat="1" applyFill="1" applyBorder="1"/>
    <xf numFmtId="0" fontId="2" fillId="9" borderId="0" xfId="1" applyFill="1"/>
    <xf numFmtId="0" fontId="2" fillId="12" borderId="0" xfId="1" applyFill="1"/>
    <xf numFmtId="0" fontId="2" fillId="8" borderId="0" xfId="1" applyFill="1"/>
    <xf numFmtId="2" fontId="2" fillId="9" borderId="27" xfId="1" applyNumberFormat="1" applyFill="1" applyBorder="1"/>
    <xf numFmtId="2" fontId="2" fillId="8" borderId="27" xfId="1" applyNumberFormat="1" applyFill="1" applyBorder="1"/>
    <xf numFmtId="2" fontId="2" fillId="12" borderId="27" xfId="1" applyNumberFormat="1" applyFill="1" applyBorder="1"/>
    <xf numFmtId="2" fontId="2" fillId="9" borderId="0" xfId="1" applyNumberFormat="1" applyFill="1"/>
    <xf numFmtId="2" fontId="2" fillId="8" borderId="0" xfId="1" applyNumberFormat="1" applyFill="1"/>
    <xf numFmtId="2" fontId="2" fillId="12" borderId="0" xfId="1" applyNumberFormat="1" applyFill="1"/>
    <xf numFmtId="0" fontId="19" fillId="0" borderId="0" xfId="1" applyFont="1"/>
    <xf numFmtId="2" fontId="19" fillId="9" borderId="0" xfId="1" applyNumberFormat="1" applyFont="1" applyFill="1"/>
    <xf numFmtId="2" fontId="19" fillId="8" borderId="0" xfId="1" applyNumberFormat="1" applyFont="1" applyFill="1"/>
    <xf numFmtId="2" fontId="19" fillId="12" borderId="0" xfId="1" applyNumberFormat="1" applyFont="1" applyFill="1"/>
    <xf numFmtId="0" fontId="2" fillId="0" borderId="0" xfId="1" applyAlignment="1">
      <alignment horizontal="center"/>
    </xf>
    <xf numFmtId="0" fontId="2" fillId="0" borderId="0" xfId="1" applyAlignment="1">
      <alignment horizontal="left" vertical="top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4" fillId="2" borderId="0" xfId="1" applyFont="1" applyFill="1" applyAlignment="1">
      <alignment horizontal="left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4" borderId="12" xfId="1" applyFont="1" applyFill="1" applyBorder="1" applyAlignment="1">
      <alignment horizontal="center" vertical="center" wrapText="1"/>
    </xf>
    <xf numFmtId="0" fontId="1" fillId="4" borderId="13" xfId="1" applyFont="1" applyFill="1" applyBorder="1" applyAlignment="1">
      <alignment horizontal="center" vertical="center" wrapText="1"/>
    </xf>
    <xf numFmtId="0" fontId="1" fillId="4" borderId="14" xfId="1" applyFont="1" applyFill="1" applyBorder="1" applyAlignment="1">
      <alignment horizontal="center" vertical="center" wrapText="1"/>
    </xf>
    <xf numFmtId="0" fontId="2" fillId="4" borderId="15" xfId="1" applyFill="1" applyBorder="1" applyAlignment="1"/>
    <xf numFmtId="0" fontId="2" fillId="4" borderId="16" xfId="1" applyFill="1" applyBorder="1" applyAlignment="1"/>
    <xf numFmtId="0" fontId="1" fillId="6" borderId="8" xfId="1" applyFont="1" applyFill="1" applyBorder="1" applyAlignment="1">
      <alignment horizontal="center" vertical="center" wrapText="1"/>
    </xf>
    <xf numFmtId="0" fontId="1" fillId="6" borderId="0" xfId="1" applyFont="1" applyFill="1" applyBorder="1" applyAlignment="1">
      <alignment horizontal="center" vertical="center" wrapText="1"/>
    </xf>
    <xf numFmtId="0" fontId="1" fillId="6" borderId="5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 wrapText="1"/>
    </xf>
    <xf numFmtId="0" fontId="2" fillId="6" borderId="18" xfId="1" applyFill="1" applyBorder="1" applyAlignment="1"/>
    <xf numFmtId="0" fontId="2" fillId="6" borderId="19" xfId="1" applyFill="1" applyBorder="1" applyAlignment="1"/>
    <xf numFmtId="0" fontId="2" fillId="6" borderId="21" xfId="1" applyFill="1" applyBorder="1" applyAlignment="1"/>
    <xf numFmtId="0" fontId="2" fillId="6" borderId="22" xfId="1" applyFill="1" applyBorder="1" applyAlignment="1"/>
    <xf numFmtId="0" fontId="1" fillId="6" borderId="1" xfId="1" applyFont="1" applyFill="1" applyBorder="1" applyAlignment="1">
      <alignment horizontal="center" vertical="center"/>
    </xf>
    <xf numFmtId="0" fontId="1" fillId="6" borderId="2" xfId="1" applyFont="1" applyFill="1" applyBorder="1" applyAlignment="1">
      <alignment horizontal="center" vertical="center"/>
    </xf>
    <xf numFmtId="0" fontId="1" fillId="6" borderId="8" xfId="1" applyFont="1" applyFill="1" applyBorder="1" applyAlignment="1">
      <alignment horizontal="center" vertical="center"/>
    </xf>
    <xf numFmtId="0" fontId="1" fillId="6" borderId="0" xfId="1" applyFont="1" applyFill="1" applyBorder="1" applyAlignment="1">
      <alignment horizontal="center" vertical="center"/>
    </xf>
    <xf numFmtId="0" fontId="1" fillId="6" borderId="5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/>
    </xf>
    <xf numFmtId="0" fontId="2" fillId="6" borderId="36" xfId="1" applyFill="1" applyBorder="1" applyAlignment="1">
      <alignment horizontal="left"/>
    </xf>
    <xf numFmtId="0" fontId="2" fillId="6" borderId="37" xfId="1" applyFill="1" applyBorder="1" applyAlignment="1">
      <alignment horizontal="left"/>
    </xf>
    <xf numFmtId="0" fontId="2" fillId="6" borderId="38" xfId="1" applyFill="1" applyBorder="1" applyAlignment="1">
      <alignment horizontal="left"/>
    </xf>
    <xf numFmtId="0" fontId="2" fillId="6" borderId="40" xfId="1" applyFill="1" applyBorder="1" applyAlignment="1">
      <alignment horizontal="left"/>
    </xf>
    <xf numFmtId="0" fontId="2" fillId="6" borderId="41" xfId="1" applyFill="1" applyBorder="1" applyAlignment="1">
      <alignment horizontal="left"/>
    </xf>
    <xf numFmtId="0" fontId="2" fillId="6" borderId="42" xfId="1" applyFill="1" applyBorder="1" applyAlignment="1">
      <alignment horizontal="left"/>
    </xf>
    <xf numFmtId="0" fontId="2" fillId="6" borderId="26" xfId="1" applyFill="1" applyBorder="1" applyAlignment="1">
      <alignment horizontal="left"/>
    </xf>
    <xf numFmtId="0" fontId="2" fillId="6" borderId="27" xfId="1" applyFill="1" applyBorder="1" applyAlignment="1">
      <alignment horizontal="left"/>
    </xf>
    <xf numFmtId="0" fontId="2" fillId="6" borderId="21" xfId="1" applyFill="1" applyBorder="1" applyAlignment="1">
      <alignment horizontal="left"/>
    </xf>
    <xf numFmtId="0" fontId="2" fillId="6" borderId="22" xfId="1" applyFill="1" applyBorder="1" applyAlignment="1">
      <alignment horizontal="left"/>
    </xf>
    <xf numFmtId="0" fontId="1" fillId="4" borderId="12" xfId="1" applyFont="1" applyFill="1" applyBorder="1" applyAlignment="1">
      <alignment horizontal="center"/>
    </xf>
    <xf numFmtId="0" fontId="1" fillId="4" borderId="13" xfId="1" applyFont="1" applyFill="1" applyBorder="1" applyAlignment="1">
      <alignment horizontal="center"/>
    </xf>
    <xf numFmtId="0" fontId="2" fillId="4" borderId="15" xfId="1" applyFill="1" applyBorder="1" applyAlignment="1">
      <alignment horizontal="left"/>
    </xf>
    <xf numFmtId="0" fontId="2" fillId="4" borderId="16" xfId="1" applyFill="1" applyBorder="1" applyAlignment="1">
      <alignment horizontal="left"/>
    </xf>
    <xf numFmtId="0" fontId="1" fillId="4" borderId="1" xfId="1" applyFont="1" applyFill="1" applyBorder="1" applyAlignment="1">
      <alignment horizontal="center" vertical="center" wrapText="1"/>
    </xf>
    <xf numFmtId="0" fontId="1" fillId="4" borderId="2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center" vertical="center" wrapText="1"/>
    </xf>
    <xf numFmtId="0" fontId="1" fillId="4" borderId="8" xfId="1" applyFont="1" applyFill="1" applyBorder="1" applyAlignment="1">
      <alignment horizontal="center" vertical="center" wrapText="1"/>
    </xf>
    <xf numFmtId="0" fontId="1" fillId="4" borderId="0" xfId="1" applyFont="1" applyFill="1" applyBorder="1" applyAlignment="1">
      <alignment horizontal="center" vertical="center" wrapText="1"/>
    </xf>
    <xf numFmtId="0" fontId="1" fillId="4" borderId="9" xfId="1" applyFont="1" applyFill="1" applyBorder="1" applyAlignment="1">
      <alignment horizontal="center" vertical="center" wrapText="1"/>
    </xf>
    <xf numFmtId="0" fontId="1" fillId="4" borderId="5" xfId="1" applyFont="1" applyFill="1" applyBorder="1" applyAlignment="1">
      <alignment horizontal="center" vertical="center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7" xfId="1" applyFont="1" applyFill="1" applyBorder="1" applyAlignment="1">
      <alignment horizontal="center" vertical="center" wrapText="1"/>
    </xf>
    <xf numFmtId="0" fontId="2" fillId="4" borderId="26" xfId="1" applyFont="1" applyFill="1" applyBorder="1" applyAlignment="1"/>
    <xf numFmtId="0" fontId="2" fillId="4" borderId="27" xfId="1" applyFont="1" applyFill="1" applyBorder="1" applyAlignment="1"/>
    <xf numFmtId="0" fontId="1" fillId="4" borderId="1" xfId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center" vertical="center"/>
    </xf>
    <xf numFmtId="0" fontId="2" fillId="4" borderId="36" xfId="1" applyFill="1" applyBorder="1" applyAlignment="1">
      <alignment horizontal="left"/>
    </xf>
    <xf numFmtId="0" fontId="2" fillId="4" borderId="37" xfId="1" applyFill="1" applyBorder="1" applyAlignment="1">
      <alignment horizontal="left"/>
    </xf>
    <xf numFmtId="0" fontId="2" fillId="4" borderId="38" xfId="1" applyFill="1" applyBorder="1" applyAlignment="1">
      <alignment horizontal="left"/>
    </xf>
    <xf numFmtId="0" fontId="2" fillId="4" borderId="46" xfId="1" applyFill="1" applyBorder="1" applyAlignment="1">
      <alignment horizontal="left"/>
    </xf>
    <xf numFmtId="0" fontId="2" fillId="4" borderId="47" xfId="1" applyFill="1" applyBorder="1" applyAlignment="1">
      <alignment horizontal="left"/>
    </xf>
    <xf numFmtId="0" fontId="2" fillId="4" borderId="48" xfId="1" applyFill="1" applyBorder="1" applyAlignment="1">
      <alignment horizontal="left"/>
    </xf>
    <xf numFmtId="0" fontId="1" fillId="6" borderId="12" xfId="1" applyFont="1" applyFill="1" applyBorder="1" applyAlignment="1">
      <alignment horizontal="center" vertical="center"/>
    </xf>
    <xf numFmtId="0" fontId="1" fillId="6" borderId="13" xfId="1" applyFont="1" applyFill="1" applyBorder="1" applyAlignment="1">
      <alignment horizontal="center" vertical="center"/>
    </xf>
    <xf numFmtId="0" fontId="2" fillId="6" borderId="15" xfId="1" applyFill="1" applyBorder="1" applyAlignment="1">
      <alignment horizontal="left"/>
    </xf>
    <xf numFmtId="0" fontId="2" fillId="6" borderId="16" xfId="1" applyFill="1" applyBorder="1" applyAlignment="1">
      <alignment horizontal="left"/>
    </xf>
    <xf numFmtId="0" fontId="1" fillId="4" borderId="12" xfId="1" applyFont="1" applyFill="1" applyBorder="1" applyAlignment="1">
      <alignment horizontal="center" vertical="center"/>
    </xf>
    <xf numFmtId="0" fontId="1" fillId="4" borderId="13" xfId="1" applyFont="1" applyFill="1" applyBorder="1" applyAlignment="1">
      <alignment horizontal="center" vertical="center"/>
    </xf>
    <xf numFmtId="0" fontId="2" fillId="6" borderId="45" xfId="1" applyFill="1" applyBorder="1" applyAlignment="1">
      <alignment horizontal="left"/>
    </xf>
    <xf numFmtId="0" fontId="2" fillId="6" borderId="28" xfId="1" applyFill="1" applyBorder="1" applyAlignment="1">
      <alignment horizontal="left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/>
    </xf>
    <xf numFmtId="0" fontId="1" fillId="6" borderId="7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1" fillId="6" borderId="1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/>
    </xf>
    <xf numFmtId="0" fontId="2" fillId="4" borderId="12" xfId="1" applyFill="1" applyBorder="1" applyAlignment="1">
      <alignment horizontal="left"/>
    </xf>
    <xf numFmtId="0" fontId="2" fillId="4" borderId="13" xfId="1" applyFill="1" applyBorder="1" applyAlignment="1">
      <alignment horizontal="left"/>
    </xf>
    <xf numFmtId="0" fontId="2" fillId="4" borderId="49" xfId="1" applyFill="1" applyBorder="1" applyAlignment="1">
      <alignment horizontal="left"/>
    </xf>
    <xf numFmtId="0" fontId="6" fillId="6" borderId="12" xfId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2" fillId="6" borderId="12" xfId="1" applyFill="1" applyBorder="1" applyAlignment="1">
      <alignment horizontal="left"/>
    </xf>
    <xf numFmtId="0" fontId="2" fillId="6" borderId="13" xfId="1" applyFill="1" applyBorder="1" applyAlignment="1">
      <alignment horizontal="left"/>
    </xf>
    <xf numFmtId="0" fontId="2" fillId="6" borderId="49" xfId="1" applyFill="1" applyBorder="1" applyAlignment="1">
      <alignment horizontal="left"/>
    </xf>
    <xf numFmtId="0" fontId="11" fillId="0" borderId="0" xfId="1" applyFont="1" applyAlignment="1">
      <alignment horizontal="left" vertical="center" wrapText="1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0" fontId="2" fillId="0" borderId="27" xfId="1" applyBorder="1" applyAlignment="1">
      <alignment horizontal="left" vertical="center" wrapText="1"/>
    </xf>
    <xf numFmtId="0" fontId="12" fillId="8" borderId="12" xfId="1" applyFont="1" applyFill="1" applyBorder="1" applyAlignment="1">
      <alignment horizontal="center"/>
    </xf>
    <xf numFmtId="0" fontId="12" fillId="8" borderId="14" xfId="1" applyFont="1" applyFill="1" applyBorder="1" applyAlignment="1">
      <alignment horizontal="center"/>
    </xf>
    <xf numFmtId="0" fontId="12" fillId="10" borderId="8" xfId="1" applyFont="1" applyFill="1" applyBorder="1" applyAlignment="1">
      <alignment horizontal="center"/>
    </xf>
    <xf numFmtId="0" fontId="12" fillId="10" borderId="9" xfId="1" applyFont="1" applyFill="1" applyBorder="1" applyAlignment="1">
      <alignment horizontal="center"/>
    </xf>
    <xf numFmtId="0" fontId="12" fillId="11" borderId="12" xfId="1" applyFont="1" applyFill="1" applyBorder="1" applyAlignment="1">
      <alignment horizontal="center"/>
    </xf>
    <xf numFmtId="0" fontId="12" fillId="11" borderId="14" xfId="1" applyFont="1" applyFill="1" applyBorder="1" applyAlignment="1">
      <alignment horizontal="center"/>
    </xf>
    <xf numFmtId="0" fontId="2" fillId="8" borderId="29" xfId="1" applyFont="1" applyFill="1" applyBorder="1" applyAlignment="1">
      <alignment horizontal="left" vertical="top"/>
    </xf>
    <xf numFmtId="0" fontId="2" fillId="8" borderId="42" xfId="1" applyFont="1" applyFill="1" applyBorder="1" applyAlignment="1">
      <alignment horizontal="left" vertical="top"/>
    </xf>
    <xf numFmtId="164" fontId="1" fillId="4" borderId="12" xfId="1" applyNumberFormat="1" applyFont="1" applyFill="1" applyBorder="1" applyAlignment="1">
      <alignment horizontal="left" vertical="top"/>
    </xf>
    <xf numFmtId="164" fontId="1" fillId="4" borderId="13" xfId="1" applyNumberFormat="1" applyFont="1" applyFill="1" applyBorder="1" applyAlignment="1">
      <alignment horizontal="left" vertical="top"/>
    </xf>
    <xf numFmtId="0" fontId="2" fillId="0" borderId="0" xfId="1" applyAlignment="1">
      <alignment horizontal="left" vertical="top"/>
    </xf>
    <xf numFmtId="0" fontId="11" fillId="0" borderId="0" xfId="1" applyFont="1" applyAlignment="1">
      <alignment horizontal="left" vertical="top" wrapText="1"/>
    </xf>
    <xf numFmtId="0" fontId="11" fillId="0" borderId="0" xfId="1" applyFont="1" applyBorder="1" applyAlignment="1">
      <alignment horizontal="left" vertical="center" wrapText="1"/>
    </xf>
    <xf numFmtId="0" fontId="12" fillId="13" borderId="8" xfId="1" applyFont="1" applyFill="1" applyBorder="1" applyAlignment="1">
      <alignment horizontal="center"/>
    </xf>
    <xf numFmtId="0" fontId="12" fillId="13" borderId="9" xfId="1" applyFont="1" applyFill="1" applyBorder="1" applyAlignment="1">
      <alignment horizontal="center"/>
    </xf>
    <xf numFmtId="0" fontId="12" fillId="10" borderId="12" xfId="1" applyFont="1" applyFill="1" applyBorder="1" applyAlignment="1">
      <alignment horizontal="center"/>
    </xf>
    <xf numFmtId="0" fontId="12" fillId="10" borderId="14" xfId="1" applyFont="1" applyFill="1" applyBorder="1" applyAlignment="1">
      <alignment horizontal="center"/>
    </xf>
    <xf numFmtId="0" fontId="2" fillId="12" borderId="27" xfId="1" applyFill="1" applyBorder="1" applyAlignment="1">
      <alignment horizontal="left" vertical="top"/>
    </xf>
    <xf numFmtId="0" fontId="2" fillId="10" borderId="27" xfId="1" applyFont="1" applyFill="1" applyBorder="1" applyAlignment="1">
      <alignment horizontal="left" vertical="top"/>
    </xf>
    <xf numFmtId="0" fontId="2" fillId="13" borderId="27" xfId="1" applyFont="1" applyFill="1" applyBorder="1" applyAlignment="1">
      <alignment horizontal="left" vertical="top"/>
    </xf>
    <xf numFmtId="0" fontId="2" fillId="0" borderId="32" xfId="1" applyBorder="1" applyAlignment="1">
      <alignment horizontal="left"/>
    </xf>
    <xf numFmtId="0" fontId="2" fillId="0" borderId="53" xfId="1" applyBorder="1" applyAlignment="1">
      <alignment horizontal="left"/>
    </xf>
    <xf numFmtId="0" fontId="2" fillId="11" borderId="29" xfId="1" applyFill="1" applyBorder="1" applyAlignment="1">
      <alignment horizontal="left"/>
    </xf>
    <xf numFmtId="0" fontId="2" fillId="11" borderId="42" xfId="1" applyFill="1" applyBorder="1" applyAlignment="1">
      <alignment horizontal="left"/>
    </xf>
    <xf numFmtId="0" fontId="2" fillId="12" borderId="29" xfId="1" applyFill="1" applyBorder="1" applyAlignment="1">
      <alignment horizontal="left"/>
    </xf>
    <xf numFmtId="0" fontId="2" fillId="12" borderId="42" xfId="1" applyFill="1" applyBorder="1" applyAlignment="1">
      <alignment horizontal="left"/>
    </xf>
    <xf numFmtId="0" fontId="12" fillId="8" borderId="8" xfId="1" applyFont="1" applyFill="1" applyBorder="1" applyAlignment="1">
      <alignment horizontal="center"/>
    </xf>
    <xf numFmtId="0" fontId="12" fillId="8" borderId="9" xfId="1" applyFont="1" applyFill="1" applyBorder="1" applyAlignment="1">
      <alignment horizontal="center"/>
    </xf>
    <xf numFmtId="0" fontId="1" fillId="0" borderId="0" xfId="1" applyFont="1" applyAlignment="1">
      <alignment horizontal="left"/>
    </xf>
    <xf numFmtId="0" fontId="2" fillId="13" borderId="32" xfId="1" applyFill="1" applyBorder="1" applyAlignment="1">
      <alignment horizontal="left" wrapText="1"/>
    </xf>
    <xf numFmtId="0" fontId="2" fillId="13" borderId="53" xfId="1" applyFill="1" applyBorder="1" applyAlignment="1">
      <alignment horizontal="left" wrapText="1"/>
    </xf>
    <xf numFmtId="0" fontId="2" fillId="13" borderId="54" xfId="1" applyFill="1" applyBorder="1" applyAlignment="1">
      <alignment horizontal="left" wrapText="1"/>
    </xf>
    <xf numFmtId="0" fontId="2" fillId="13" borderId="48" xfId="1" applyFill="1" applyBorder="1" applyAlignment="1">
      <alignment horizontal="left" wrapText="1"/>
    </xf>
    <xf numFmtId="0" fontId="2" fillId="8" borderId="27" xfId="1" applyFill="1" applyBorder="1" applyAlignment="1">
      <alignment horizontal="center" vertical="center" wrapText="1"/>
    </xf>
    <xf numFmtId="0" fontId="2" fillId="8" borderId="27" xfId="1" applyFill="1" applyBorder="1" applyAlignment="1">
      <alignment horizontal="left" vertical="top" wrapText="1"/>
    </xf>
    <xf numFmtId="0" fontId="2" fillId="9" borderId="29" xfId="1" applyFill="1" applyBorder="1" applyAlignment="1">
      <alignment horizontal="left"/>
    </xf>
    <xf numFmtId="0" fontId="2" fillId="9" borderId="42" xfId="1" applyFill="1" applyBorder="1" applyAlignment="1">
      <alignment horizontal="left"/>
    </xf>
    <xf numFmtId="0" fontId="2" fillId="10" borderId="34" xfId="1" applyFill="1" applyBorder="1" applyAlignment="1">
      <alignment horizontal="center" vertical="center"/>
    </xf>
    <xf numFmtId="0" fontId="2" fillId="10" borderId="23" xfId="1" applyFill="1" applyBorder="1" applyAlignment="1">
      <alignment horizontal="center" vertical="center"/>
    </xf>
    <xf numFmtId="0" fontId="2" fillId="10" borderId="19" xfId="1" applyFill="1" applyBorder="1" applyAlignment="1">
      <alignment horizontal="center" vertical="center"/>
    </xf>
    <xf numFmtId="0" fontId="2" fillId="10" borderId="32" xfId="1" applyFill="1" applyBorder="1" applyAlignment="1">
      <alignment horizontal="left" vertical="top" wrapText="1"/>
    </xf>
    <xf numFmtId="0" fontId="2" fillId="10" borderId="53" xfId="1" applyFill="1" applyBorder="1" applyAlignment="1">
      <alignment horizontal="left" vertical="top" wrapText="1"/>
    </xf>
    <xf numFmtId="0" fontId="2" fillId="10" borderId="55" xfId="1" applyFill="1" applyBorder="1" applyAlignment="1">
      <alignment horizontal="left" vertical="top" wrapText="1"/>
    </xf>
    <xf numFmtId="0" fontId="2" fillId="10" borderId="56" xfId="1" applyFill="1" applyBorder="1" applyAlignment="1">
      <alignment horizontal="left" vertical="top" wrapText="1"/>
    </xf>
    <xf numFmtId="0" fontId="2" fillId="10" borderId="54" xfId="1" applyFill="1" applyBorder="1" applyAlignment="1">
      <alignment horizontal="left" vertical="top" wrapText="1"/>
    </xf>
    <xf numFmtId="0" fontId="2" fillId="10" borderId="48" xfId="1" applyFill="1" applyBorder="1" applyAlignment="1">
      <alignment horizontal="left" vertical="top" wrapText="1"/>
    </xf>
    <xf numFmtId="0" fontId="12" fillId="13" borderId="12" xfId="1" applyFont="1" applyFill="1" applyBorder="1" applyAlignment="1">
      <alignment horizontal="center"/>
    </xf>
    <xf numFmtId="0" fontId="12" fillId="13" borderId="14" xfId="1" applyFont="1" applyFill="1" applyBorder="1" applyAlignment="1">
      <alignment horizontal="center"/>
    </xf>
    <xf numFmtId="0" fontId="12" fillId="12" borderId="12" xfId="1" applyFont="1" applyFill="1" applyBorder="1" applyAlignment="1">
      <alignment horizontal="center"/>
    </xf>
    <xf numFmtId="0" fontId="12" fillId="12" borderId="14" xfId="1" applyFont="1" applyFill="1" applyBorder="1" applyAlignment="1">
      <alignment horizontal="center"/>
    </xf>
    <xf numFmtId="0" fontId="12" fillId="10" borderId="8" xfId="1" applyFont="1" applyFill="1" applyBorder="1" applyAlignment="1">
      <alignment horizontal="center" vertical="center"/>
    </xf>
    <xf numFmtId="0" fontId="12" fillId="10" borderId="9" xfId="1" applyFont="1" applyFill="1" applyBorder="1" applyAlignment="1">
      <alignment horizontal="center" vertical="center"/>
    </xf>
    <xf numFmtId="0" fontId="12" fillId="9" borderId="12" xfId="1" applyFont="1" applyFill="1" applyBorder="1" applyAlignment="1">
      <alignment horizontal="center"/>
    </xf>
    <xf numFmtId="0" fontId="12" fillId="9" borderId="14" xfId="1" applyFont="1" applyFill="1" applyBorder="1" applyAlignment="1">
      <alignment horizontal="center"/>
    </xf>
    <xf numFmtId="0" fontId="12" fillId="10" borderId="12" xfId="1" applyFont="1" applyFill="1" applyBorder="1" applyAlignment="1">
      <alignment horizontal="center" vertical="center"/>
    </xf>
    <xf numFmtId="0" fontId="12" fillId="10" borderId="14" xfId="1" applyFont="1" applyFill="1" applyBorder="1" applyAlignment="1">
      <alignment horizontal="center" vertical="center"/>
    </xf>
    <xf numFmtId="0" fontId="2" fillId="13" borderId="34" xfId="1" applyFill="1" applyBorder="1" applyAlignment="1">
      <alignment horizontal="center" vertical="center" wrapText="1"/>
    </xf>
    <xf numFmtId="0" fontId="2" fillId="13" borderId="19" xfId="1" applyFill="1" applyBorder="1" applyAlignment="1">
      <alignment horizontal="center" vertical="center" wrapText="1"/>
    </xf>
    <xf numFmtId="0" fontId="2" fillId="0" borderId="12" xfId="1" applyBorder="1" applyAlignment="1">
      <alignment horizontal="left" vertical="top"/>
    </xf>
    <xf numFmtId="0" fontId="2" fillId="0" borderId="13" xfId="1" applyBorder="1" applyAlignment="1">
      <alignment horizontal="left" vertical="top"/>
    </xf>
    <xf numFmtId="0" fontId="2" fillId="0" borderId="14" xfId="1" applyBorder="1" applyAlignment="1">
      <alignment horizontal="left" vertical="top"/>
    </xf>
    <xf numFmtId="167" fontId="2" fillId="0" borderId="8" xfId="1" applyNumberForma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2" fillId="0" borderId="0" xfId="1" applyAlignment="1">
      <alignment horizontal="center"/>
    </xf>
    <xf numFmtId="0" fontId="2" fillId="0" borderId="1" xfId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2" fillId="0" borderId="6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1" fillId="10" borderId="1" xfId="1" applyFont="1" applyFill="1" applyBorder="1" applyAlignment="1">
      <alignment horizontal="left" vertical="top"/>
    </xf>
    <xf numFmtId="0" fontId="1" fillId="10" borderId="2" xfId="1" applyFont="1" applyFill="1" applyBorder="1" applyAlignment="1">
      <alignment horizontal="left" vertical="top"/>
    </xf>
    <xf numFmtId="0" fontId="1" fillId="10" borderId="3" xfId="1" applyFont="1" applyFill="1" applyBorder="1" applyAlignment="1">
      <alignment horizontal="left" vertical="top"/>
    </xf>
    <xf numFmtId="0" fontId="12" fillId="0" borderId="8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" fillId="10" borderId="1" xfId="1" applyFont="1" applyFill="1" applyBorder="1" applyAlignment="1">
      <alignment horizontal="center" vertical="center"/>
    </xf>
    <xf numFmtId="0" fontId="1" fillId="10" borderId="3" xfId="1" applyFont="1" applyFill="1" applyBorder="1" applyAlignment="1">
      <alignment horizontal="center" vertical="center"/>
    </xf>
    <xf numFmtId="0" fontId="1" fillId="10" borderId="5" xfId="1" applyFont="1" applyFill="1" applyBorder="1" applyAlignment="1">
      <alignment horizontal="center" vertical="center"/>
    </xf>
    <xf numFmtId="0" fontId="1" fillId="10" borderId="7" xfId="1" applyFont="1" applyFill="1" applyBorder="1" applyAlignment="1">
      <alignment horizontal="center" vertical="center"/>
    </xf>
    <xf numFmtId="0" fontId="1" fillId="5" borderId="4" xfId="1" applyFont="1" applyFill="1" applyBorder="1" applyAlignment="1">
      <alignment horizontal="right" vertical="center"/>
    </xf>
    <xf numFmtId="0" fontId="1" fillId="5" borderId="11" xfId="1" applyFont="1" applyFill="1" applyBorder="1" applyAlignment="1">
      <alignment horizontal="right" vertical="center"/>
    </xf>
    <xf numFmtId="166" fontId="2" fillId="0" borderId="4" xfId="1" applyNumberFormat="1" applyBorder="1" applyAlignment="1">
      <alignment horizontal="center" vertical="center"/>
    </xf>
    <xf numFmtId="166" fontId="2" fillId="0" borderId="11" xfId="1" applyNumberFormat="1" applyBorder="1" applyAlignment="1">
      <alignment horizontal="center" vertical="center"/>
    </xf>
    <xf numFmtId="167" fontId="2" fillId="0" borderId="4" xfId="1" applyNumberForma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2" fontId="2" fillId="5" borderId="28" xfId="1" applyNumberFormat="1" applyFill="1" applyBorder="1" applyAlignment="1">
      <alignment horizontal="right"/>
    </xf>
    <xf numFmtId="0" fontId="1" fillId="6" borderId="12" xfId="1" applyFont="1" applyFill="1" applyBorder="1" applyAlignment="1">
      <alignment horizontal="center" vertical="center" wrapText="1"/>
    </xf>
    <xf numFmtId="0" fontId="1" fillId="6" borderId="13" xfId="1" applyFont="1" applyFill="1" applyBorder="1" applyAlignment="1">
      <alignment horizontal="center" vertical="center" wrapText="1"/>
    </xf>
    <xf numFmtId="0" fontId="1" fillId="6" borderId="14" xfId="1" applyFont="1" applyFill="1" applyBorder="1" applyAlignment="1">
      <alignment horizontal="center" vertical="center" wrapText="1"/>
    </xf>
    <xf numFmtId="2" fontId="2" fillId="5" borderId="16" xfId="1" applyNumberFormat="1" applyFill="1" applyBorder="1" applyAlignment="1">
      <alignment horizontal="right"/>
    </xf>
    <xf numFmtId="164" fontId="5" fillId="6" borderId="24" xfId="1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8"/>
  <sheetViews>
    <sheetView tabSelected="1" topLeftCell="A22" zoomScale="80" zoomScaleNormal="80" workbookViewId="0">
      <selection activeCell="B6" sqref="B6:E6"/>
    </sheetView>
  </sheetViews>
  <sheetFormatPr defaultColWidth="9.140625" defaultRowHeight="15" x14ac:dyDescent="0.25"/>
  <cols>
    <col min="1" max="3" width="9.140625" style="2"/>
    <col min="4" max="4" width="16.5703125" style="2" customWidth="1"/>
    <col min="5" max="6" width="17.7109375" style="2" customWidth="1"/>
    <col min="7" max="7" width="20.42578125" style="2" customWidth="1"/>
    <col min="8" max="8" width="30.42578125" style="2" customWidth="1"/>
    <col min="9" max="9" width="9.140625" style="2"/>
    <col min="10" max="10" width="23" style="2" customWidth="1"/>
    <col min="11" max="11" width="18.85546875" style="2" customWidth="1"/>
    <col min="12" max="12" width="18" style="2" customWidth="1"/>
    <col min="13" max="13" width="20.5703125" style="2" customWidth="1"/>
    <col min="14" max="14" width="18.140625" style="2" customWidth="1"/>
    <col min="15" max="15" width="11" style="2" customWidth="1"/>
    <col min="16" max="16" width="15.42578125" style="2" customWidth="1"/>
    <col min="17" max="17" width="8.42578125" style="2" customWidth="1"/>
    <col min="18" max="18" width="14" style="2" customWidth="1"/>
    <col min="19" max="19" width="20.85546875" style="2" customWidth="1"/>
    <col min="20" max="16384" width="9.140625" style="2"/>
  </cols>
  <sheetData>
    <row r="1" spans="2:19" ht="30" customHeight="1" x14ac:dyDescent="0.25">
      <c r="B1" s="1" t="s">
        <v>158</v>
      </c>
    </row>
    <row r="2" spans="2:19" ht="21" x14ac:dyDescent="0.35">
      <c r="B2" s="220" t="s">
        <v>159</v>
      </c>
      <c r="C2" s="220"/>
      <c r="D2" s="220"/>
      <c r="E2" s="220"/>
      <c r="F2" s="220"/>
      <c r="G2" s="220"/>
      <c r="H2" s="220"/>
      <c r="I2" s="220"/>
      <c r="J2" s="220"/>
      <c r="K2" s="95"/>
      <c r="L2" s="169"/>
    </row>
    <row r="3" spans="2:19" ht="15.75" thickBot="1" x14ac:dyDescent="0.3"/>
    <row r="4" spans="2:19" ht="15" customHeight="1" x14ac:dyDescent="0.25">
      <c r="B4" s="221" t="s">
        <v>0</v>
      </c>
      <c r="C4" s="222"/>
      <c r="D4" s="222"/>
      <c r="E4" s="223"/>
      <c r="F4" s="221" t="s">
        <v>1</v>
      </c>
      <c r="G4" s="222"/>
      <c r="H4" s="223"/>
      <c r="I4" s="230" t="s">
        <v>2</v>
      </c>
      <c r="J4" s="232" t="s">
        <v>3</v>
      </c>
      <c r="K4" s="232" t="s">
        <v>4</v>
      </c>
      <c r="L4" s="232" t="s">
        <v>5</v>
      </c>
      <c r="M4" s="232" t="s">
        <v>6</v>
      </c>
      <c r="N4" s="230" t="s">
        <v>7</v>
      </c>
      <c r="O4" s="232" t="s">
        <v>8</v>
      </c>
      <c r="P4" s="230" t="s">
        <v>9</v>
      </c>
      <c r="Q4" s="232" t="s">
        <v>10</v>
      </c>
      <c r="R4" s="230" t="s">
        <v>11</v>
      </c>
      <c r="S4" s="235" t="s">
        <v>12</v>
      </c>
    </row>
    <row r="5" spans="2:19" ht="29.25" customHeight="1" thickBot="1" x14ac:dyDescent="0.3">
      <c r="B5" s="224"/>
      <c r="C5" s="225"/>
      <c r="D5" s="225"/>
      <c r="E5" s="226"/>
      <c r="F5" s="227"/>
      <c r="G5" s="228"/>
      <c r="H5" s="229"/>
      <c r="I5" s="231"/>
      <c r="J5" s="233"/>
      <c r="K5" s="233"/>
      <c r="L5" s="233"/>
      <c r="M5" s="233"/>
      <c r="N5" s="231"/>
      <c r="O5" s="233"/>
      <c r="P5" s="231"/>
      <c r="Q5" s="233"/>
      <c r="R5" s="234"/>
      <c r="S5" s="236"/>
    </row>
    <row r="6" spans="2:19" ht="21.75" customHeight="1" thickBot="1" x14ac:dyDescent="0.3">
      <c r="B6" s="237" t="s">
        <v>13</v>
      </c>
      <c r="C6" s="238"/>
      <c r="D6" s="238"/>
      <c r="E6" s="239"/>
      <c r="F6" s="240" t="s">
        <v>14</v>
      </c>
      <c r="G6" s="241"/>
      <c r="H6" s="241"/>
      <c r="I6" s="88">
        <v>10</v>
      </c>
      <c r="J6" s="3">
        <v>7314553.9800000014</v>
      </c>
      <c r="K6" s="4">
        <v>0.06</v>
      </c>
      <c r="L6" s="3">
        <f>J6*K6</f>
        <v>438873.23880000005</v>
      </c>
      <c r="M6" s="5">
        <v>9.4000000000000004E-3</v>
      </c>
      <c r="N6" s="6">
        <f>L6/K6*M6</f>
        <v>68756.807412000009</v>
      </c>
      <c r="O6" s="4">
        <v>5.0599999999999999E-2</v>
      </c>
      <c r="P6" s="3">
        <f>L6/K6*O6</f>
        <v>370116.43138800008</v>
      </c>
      <c r="Q6" s="7"/>
      <c r="R6" s="8"/>
      <c r="S6" s="8">
        <v>68700</v>
      </c>
    </row>
    <row r="7" spans="2:19" ht="15.75" thickBot="1" x14ac:dyDescent="0.3">
      <c r="B7" s="242" t="s">
        <v>15</v>
      </c>
      <c r="C7" s="243"/>
      <c r="D7" s="243"/>
      <c r="E7" s="243"/>
      <c r="F7" s="246" t="s">
        <v>16</v>
      </c>
      <c r="G7" s="247"/>
      <c r="H7" s="247"/>
      <c r="I7" s="9">
        <v>3.85</v>
      </c>
      <c r="J7" s="10">
        <v>3181436.1810000008</v>
      </c>
      <c r="K7" s="11">
        <v>0.17</v>
      </c>
      <c r="L7" s="3">
        <f t="shared" ref="L7:L32" si="0">J7*K7</f>
        <v>540844.15077000018</v>
      </c>
      <c r="M7" s="12">
        <v>4.82E-2</v>
      </c>
      <c r="N7" s="13">
        <f t="shared" ref="N7:N28" si="1">L7/K7*M7</f>
        <v>153345.22392420005</v>
      </c>
      <c r="O7" s="11">
        <v>5.1400000000000001E-2</v>
      </c>
      <c r="P7" s="10">
        <f>L7/K7*O7</f>
        <v>163525.81970340005</v>
      </c>
      <c r="Q7" s="11">
        <v>7.0400000000000004E-2</v>
      </c>
      <c r="R7" s="14">
        <f>L7/K7*Q7</f>
        <v>223973.10714240008</v>
      </c>
      <c r="S7" s="14">
        <v>153300</v>
      </c>
    </row>
    <row r="8" spans="2:19" ht="15.75" thickBot="1" x14ac:dyDescent="0.3">
      <c r="B8" s="244"/>
      <c r="C8" s="245"/>
      <c r="D8" s="245"/>
      <c r="E8" s="245"/>
      <c r="F8" s="248" t="s">
        <v>17</v>
      </c>
      <c r="G8" s="249"/>
      <c r="H8" s="249"/>
      <c r="I8" s="15">
        <v>1.6</v>
      </c>
      <c r="J8" s="16">
        <v>1252145.6640000003</v>
      </c>
      <c r="K8" s="17">
        <v>0.17</v>
      </c>
      <c r="L8" s="3">
        <f t="shared" si="0"/>
        <v>212864.76288000008</v>
      </c>
      <c r="M8" s="18">
        <v>7.6700000000000004E-2</v>
      </c>
      <c r="N8" s="19">
        <f t="shared" si="1"/>
        <v>96039.572428800035</v>
      </c>
      <c r="O8" s="17">
        <v>7.3300000000000004E-2</v>
      </c>
      <c r="P8" s="20">
        <f>L8/K8*O8</f>
        <v>91782.277171200025</v>
      </c>
      <c r="Q8" s="21">
        <v>0.02</v>
      </c>
      <c r="R8" s="22">
        <f>L8/K8*Q8</f>
        <v>25042.913280000008</v>
      </c>
      <c r="S8" s="22">
        <v>96000</v>
      </c>
    </row>
    <row r="9" spans="2:19" ht="15.75" thickBot="1" x14ac:dyDescent="0.3">
      <c r="B9" s="270" t="s">
        <v>18</v>
      </c>
      <c r="C9" s="271"/>
      <c r="D9" s="271"/>
      <c r="E9" s="272"/>
      <c r="F9" s="279" t="s">
        <v>19</v>
      </c>
      <c r="G9" s="280"/>
      <c r="H9" s="280"/>
      <c r="I9" s="23">
        <v>1.5</v>
      </c>
      <c r="J9" s="24">
        <v>1368391.2165000003</v>
      </c>
      <c r="K9" s="25">
        <v>0.15</v>
      </c>
      <c r="L9" s="3">
        <f t="shared" si="0"/>
        <v>205258.68247500004</v>
      </c>
      <c r="M9" s="26">
        <v>0.15</v>
      </c>
      <c r="N9" s="27">
        <f t="shared" si="1"/>
        <v>205258.68247500004</v>
      </c>
      <c r="O9" s="28"/>
      <c r="P9" s="29"/>
      <c r="Q9" s="30"/>
      <c r="R9" s="31"/>
      <c r="S9" s="32">
        <v>205200</v>
      </c>
    </row>
    <row r="10" spans="2:19" ht="15.75" thickBot="1" x14ac:dyDescent="0.3">
      <c r="B10" s="273"/>
      <c r="C10" s="274"/>
      <c r="D10" s="274"/>
      <c r="E10" s="275"/>
      <c r="F10" s="279" t="s">
        <v>20</v>
      </c>
      <c r="G10" s="280"/>
      <c r="H10" s="280"/>
      <c r="I10" s="23">
        <v>2.1</v>
      </c>
      <c r="J10" s="24">
        <v>1766734.2000000004</v>
      </c>
      <c r="K10" s="25">
        <v>0.28999999999999998</v>
      </c>
      <c r="L10" s="3">
        <f t="shared" si="0"/>
        <v>512352.91800000006</v>
      </c>
      <c r="M10" s="33">
        <v>0.28999999999999998</v>
      </c>
      <c r="N10" s="34">
        <f t="shared" si="1"/>
        <v>512352.91800000006</v>
      </c>
      <c r="O10" s="35"/>
      <c r="P10" s="28"/>
      <c r="Q10" s="36"/>
      <c r="R10" s="37"/>
      <c r="S10" s="32">
        <v>512300</v>
      </c>
    </row>
    <row r="11" spans="2:19" ht="15" customHeight="1" thickBot="1" x14ac:dyDescent="0.3">
      <c r="B11" s="273"/>
      <c r="C11" s="274"/>
      <c r="D11" s="274"/>
      <c r="E11" s="275"/>
      <c r="F11" s="279" t="s">
        <v>21</v>
      </c>
      <c r="G11" s="280"/>
      <c r="H11" s="280"/>
      <c r="I11" s="23">
        <v>6.4</v>
      </c>
      <c r="J11" s="24">
        <v>4229409.2610000009</v>
      </c>
      <c r="K11" s="25">
        <v>0.09</v>
      </c>
      <c r="L11" s="3">
        <f t="shared" si="0"/>
        <v>380646.83349000005</v>
      </c>
      <c r="M11" s="33">
        <v>0.09</v>
      </c>
      <c r="N11" s="34">
        <f t="shared" si="1"/>
        <v>380646.83349000005</v>
      </c>
      <c r="O11" s="35"/>
      <c r="P11" s="38"/>
      <c r="Q11" s="39"/>
      <c r="R11" s="32"/>
      <c r="S11" s="32">
        <v>380600</v>
      </c>
    </row>
    <row r="12" spans="2:19" ht="15.75" thickBot="1" x14ac:dyDescent="0.3">
      <c r="B12" s="273"/>
      <c r="C12" s="274"/>
      <c r="D12" s="274"/>
      <c r="E12" s="275"/>
      <c r="F12" s="279" t="s">
        <v>22</v>
      </c>
      <c r="G12" s="280"/>
      <c r="H12" s="280"/>
      <c r="I12" s="40">
        <v>4.5</v>
      </c>
      <c r="J12" s="24">
        <v>3842830.2527999999</v>
      </c>
      <c r="K12" s="25">
        <v>0.09</v>
      </c>
      <c r="L12" s="3">
        <f>J12*K12</f>
        <v>345854.72275199997</v>
      </c>
      <c r="M12" s="41">
        <v>0.09</v>
      </c>
      <c r="N12" s="42">
        <f t="shared" si="1"/>
        <v>345854.72275199997</v>
      </c>
      <c r="O12" s="28"/>
      <c r="P12" s="24"/>
      <c r="Q12" s="28"/>
      <c r="R12" s="43"/>
      <c r="S12" s="43">
        <v>345800</v>
      </c>
    </row>
    <row r="13" spans="2:19" ht="15.75" thickBot="1" x14ac:dyDescent="0.3">
      <c r="B13" s="276"/>
      <c r="C13" s="277"/>
      <c r="D13" s="277"/>
      <c r="E13" s="278"/>
      <c r="F13" s="279" t="s">
        <v>23</v>
      </c>
      <c r="G13" s="280"/>
      <c r="H13" s="280"/>
      <c r="I13" s="23">
        <v>13.25</v>
      </c>
      <c r="J13" s="24">
        <v>8927036.8110000007</v>
      </c>
      <c r="K13" s="25">
        <v>0.22</v>
      </c>
      <c r="L13" s="3">
        <f t="shared" si="0"/>
        <v>1963948.0984200002</v>
      </c>
      <c r="M13" s="41">
        <v>0.22</v>
      </c>
      <c r="N13" s="44">
        <f t="shared" si="1"/>
        <v>1963948.0984200002</v>
      </c>
      <c r="O13" s="28"/>
      <c r="P13" s="45"/>
      <c r="Q13" s="35"/>
      <c r="R13" s="46"/>
      <c r="S13" s="46">
        <v>1963900</v>
      </c>
    </row>
    <row r="14" spans="2:19" ht="15.75" thickBot="1" x14ac:dyDescent="0.3">
      <c r="B14" s="250" t="s">
        <v>24</v>
      </c>
      <c r="C14" s="251"/>
      <c r="D14" s="251"/>
      <c r="E14" s="251"/>
      <c r="F14" s="256" t="s">
        <v>25</v>
      </c>
      <c r="G14" s="257"/>
      <c r="H14" s="258"/>
      <c r="I14" s="47">
        <v>2.52</v>
      </c>
      <c r="J14" s="48">
        <v>1997486.568</v>
      </c>
      <c r="K14" s="49">
        <v>0.17</v>
      </c>
      <c r="L14" s="3">
        <f t="shared" si="0"/>
        <v>339572.71656000003</v>
      </c>
      <c r="M14" s="50">
        <v>7.7999999999999996E-3</v>
      </c>
      <c r="N14" s="51">
        <f t="shared" si="1"/>
        <v>15580.395230399999</v>
      </c>
      <c r="O14" s="52">
        <v>0.15049999999999999</v>
      </c>
      <c r="P14" s="53">
        <f>L14/K14*O14</f>
        <v>300621.72848399996</v>
      </c>
      <c r="Q14" s="49">
        <v>1.17E-2</v>
      </c>
      <c r="R14" s="54">
        <f>L14/K14*Q14</f>
        <v>23370.5928456</v>
      </c>
      <c r="S14" s="54">
        <v>15500</v>
      </c>
    </row>
    <row r="15" spans="2:19" ht="15.75" thickBot="1" x14ac:dyDescent="0.3">
      <c r="B15" s="252"/>
      <c r="C15" s="253"/>
      <c r="D15" s="253"/>
      <c r="E15" s="253"/>
      <c r="F15" s="259" t="s">
        <v>26</v>
      </c>
      <c r="G15" s="260"/>
      <c r="H15" s="261"/>
      <c r="I15" s="55">
        <v>2.62</v>
      </c>
      <c r="J15" s="56">
        <v>2190992.727</v>
      </c>
      <c r="K15" s="57">
        <v>0.17</v>
      </c>
      <c r="L15" s="3">
        <f t="shared" si="0"/>
        <v>372468.76359000005</v>
      </c>
      <c r="M15" s="58">
        <v>8.8999999999999999E-3</v>
      </c>
      <c r="N15" s="59">
        <f t="shared" si="1"/>
        <v>19499.835270299998</v>
      </c>
      <c r="O15" s="57">
        <v>0.15210000000000001</v>
      </c>
      <c r="P15" s="56">
        <f>L15/K15*O15</f>
        <v>333249.99377669999</v>
      </c>
      <c r="Q15" s="57">
        <v>8.8999999999999999E-3</v>
      </c>
      <c r="R15" s="60">
        <f>L15/K15*Q15</f>
        <v>19499.835270299998</v>
      </c>
      <c r="S15" s="60">
        <v>19400</v>
      </c>
    </row>
    <row r="16" spans="2:19" ht="15.75" thickBot="1" x14ac:dyDescent="0.3">
      <c r="B16" s="252"/>
      <c r="C16" s="253"/>
      <c r="D16" s="253"/>
      <c r="E16" s="253"/>
      <c r="F16" s="262" t="s">
        <v>27</v>
      </c>
      <c r="G16" s="263"/>
      <c r="H16" s="263"/>
      <c r="I16" s="55">
        <v>5.5</v>
      </c>
      <c r="J16" s="56">
        <v>3184860.5250000008</v>
      </c>
      <c r="K16" s="57">
        <v>0.19</v>
      </c>
      <c r="L16" s="3">
        <f t="shared" si="0"/>
        <v>605123.49975000019</v>
      </c>
      <c r="M16" s="58">
        <v>0.12540000000000001</v>
      </c>
      <c r="N16" s="59">
        <f t="shared" si="1"/>
        <v>399381.50983500015</v>
      </c>
      <c r="O16" s="57">
        <v>4.4600000000000001E-2</v>
      </c>
      <c r="P16" s="56">
        <f>L16/K16*O16</f>
        <v>142044.77941500003</v>
      </c>
      <c r="Q16" s="61"/>
      <c r="R16" s="60"/>
      <c r="S16" s="60">
        <v>399300</v>
      </c>
    </row>
    <row r="17" spans="2:19" ht="15.75" thickBot="1" x14ac:dyDescent="0.3">
      <c r="B17" s="254"/>
      <c r="C17" s="255"/>
      <c r="D17" s="255"/>
      <c r="E17" s="255"/>
      <c r="F17" s="264" t="s">
        <v>28</v>
      </c>
      <c r="G17" s="265"/>
      <c r="H17" s="265"/>
      <c r="I17" s="15">
        <v>7.9</v>
      </c>
      <c r="J17" s="16">
        <v>4985112.2858108105</v>
      </c>
      <c r="K17" s="17">
        <v>0.19</v>
      </c>
      <c r="L17" s="3">
        <f t="shared" si="0"/>
        <v>947171.33430405403</v>
      </c>
      <c r="M17" s="18">
        <v>0.19</v>
      </c>
      <c r="N17" s="19">
        <f t="shared" si="1"/>
        <v>947171.33430405403</v>
      </c>
      <c r="O17" s="62"/>
      <c r="P17" s="10"/>
      <c r="Q17" s="62"/>
      <c r="R17" s="22"/>
      <c r="S17" s="22">
        <v>947100</v>
      </c>
    </row>
    <row r="18" spans="2:19" ht="15.75" thickBot="1" x14ac:dyDescent="0.3">
      <c r="B18" s="266" t="s">
        <v>29</v>
      </c>
      <c r="C18" s="267"/>
      <c r="D18" s="267"/>
      <c r="E18" s="267"/>
      <c r="F18" s="268" t="s">
        <v>30</v>
      </c>
      <c r="G18" s="269"/>
      <c r="H18" s="269"/>
      <c r="I18" s="63">
        <v>6.6</v>
      </c>
      <c r="J18" s="3">
        <v>3437058.24</v>
      </c>
      <c r="K18" s="4">
        <v>0</v>
      </c>
      <c r="L18" s="3">
        <f t="shared" si="0"/>
        <v>0</v>
      </c>
      <c r="M18" s="64">
        <v>0</v>
      </c>
      <c r="N18" s="6">
        <f>L18/76*10</f>
        <v>0</v>
      </c>
      <c r="O18" s="65"/>
      <c r="P18" s="66"/>
      <c r="Q18" s="65"/>
      <c r="R18" s="67"/>
      <c r="S18" s="67">
        <v>0</v>
      </c>
    </row>
    <row r="19" spans="2:19" ht="15.75" thickBot="1" x14ac:dyDescent="0.3">
      <c r="B19" s="250" t="s">
        <v>31</v>
      </c>
      <c r="C19" s="251"/>
      <c r="D19" s="251"/>
      <c r="E19" s="251"/>
      <c r="F19" s="299" t="s">
        <v>32</v>
      </c>
      <c r="G19" s="300"/>
      <c r="H19" s="300"/>
      <c r="I19" s="47">
        <v>4.2</v>
      </c>
      <c r="J19" s="48">
        <v>3329144.2800000003</v>
      </c>
      <c r="K19" s="49">
        <v>0.17</v>
      </c>
      <c r="L19" s="3">
        <f t="shared" si="0"/>
        <v>565954.52760000003</v>
      </c>
      <c r="M19" s="68">
        <v>0.1179</v>
      </c>
      <c r="N19" s="19">
        <f t="shared" si="1"/>
        <v>392506.11061199999</v>
      </c>
      <c r="O19" s="69"/>
      <c r="P19" s="53"/>
      <c r="Q19" s="52">
        <v>5.21E-2</v>
      </c>
      <c r="R19" s="54">
        <f>L19/K19*Q19</f>
        <v>173448.41698799998</v>
      </c>
      <c r="S19" s="54">
        <v>392500</v>
      </c>
    </row>
    <row r="20" spans="2:19" ht="15.75" thickBot="1" x14ac:dyDescent="0.3">
      <c r="B20" s="252"/>
      <c r="C20" s="253"/>
      <c r="D20" s="253"/>
      <c r="E20" s="253"/>
      <c r="F20" s="262" t="s">
        <v>33</v>
      </c>
      <c r="G20" s="263"/>
      <c r="H20" s="263"/>
      <c r="I20" s="55">
        <v>1</v>
      </c>
      <c r="J20" s="10">
        <v>1092427.8750000002</v>
      </c>
      <c r="K20" s="57">
        <v>0.17</v>
      </c>
      <c r="L20" s="3">
        <f t="shared" si="0"/>
        <v>185712.73875000005</v>
      </c>
      <c r="M20" s="58">
        <v>0.17</v>
      </c>
      <c r="N20" s="59">
        <f t="shared" si="1"/>
        <v>185712.73875000005</v>
      </c>
      <c r="O20" s="61"/>
      <c r="P20" s="56"/>
      <c r="Q20" s="61"/>
      <c r="R20" s="60"/>
      <c r="S20" s="60">
        <v>185700</v>
      </c>
    </row>
    <row r="21" spans="2:19" ht="15.75" thickBot="1" x14ac:dyDescent="0.3">
      <c r="B21" s="252"/>
      <c r="C21" s="253"/>
      <c r="D21" s="253"/>
      <c r="E21" s="253"/>
      <c r="F21" s="262" t="s">
        <v>34</v>
      </c>
      <c r="G21" s="263"/>
      <c r="H21" s="263"/>
      <c r="I21" s="55">
        <v>3</v>
      </c>
      <c r="J21" s="56">
        <v>2377960.2000000002</v>
      </c>
      <c r="K21" s="57">
        <v>0.26</v>
      </c>
      <c r="L21" s="3">
        <f t="shared" si="0"/>
        <v>618269.65200000012</v>
      </c>
      <c r="M21" s="58">
        <v>0.26</v>
      </c>
      <c r="N21" s="59">
        <f t="shared" si="1"/>
        <v>618269.65200000012</v>
      </c>
      <c r="O21" s="61"/>
      <c r="P21" s="20"/>
      <c r="Q21" s="70"/>
      <c r="R21" s="71"/>
      <c r="S21" s="71">
        <v>618200</v>
      </c>
    </row>
    <row r="22" spans="2:19" ht="15.75" thickBot="1" x14ac:dyDescent="0.3">
      <c r="B22" s="252"/>
      <c r="C22" s="253"/>
      <c r="D22" s="253"/>
      <c r="E22" s="253"/>
      <c r="F22" s="262" t="s">
        <v>35</v>
      </c>
      <c r="G22" s="263"/>
      <c r="H22" s="263"/>
      <c r="I22" s="55">
        <v>17.600000000000001</v>
      </c>
      <c r="J22" s="56">
        <v>12096508.924500002</v>
      </c>
      <c r="K22" s="57">
        <v>0.2</v>
      </c>
      <c r="L22" s="3">
        <f t="shared" si="0"/>
        <v>2419301.7849000003</v>
      </c>
      <c r="M22" s="58">
        <v>0.19</v>
      </c>
      <c r="N22" s="19">
        <f t="shared" si="1"/>
        <v>2298336.6956550004</v>
      </c>
      <c r="O22" s="61"/>
      <c r="P22" s="56"/>
      <c r="Q22" s="61"/>
      <c r="R22" s="60"/>
      <c r="S22" s="60">
        <v>2298300</v>
      </c>
    </row>
    <row r="23" spans="2:19" ht="15.75" thickBot="1" x14ac:dyDescent="0.3">
      <c r="B23" s="254"/>
      <c r="C23" s="255"/>
      <c r="D23" s="255"/>
      <c r="E23" s="255"/>
      <c r="F23" s="264" t="s">
        <v>36</v>
      </c>
      <c r="G23" s="265"/>
      <c r="H23" s="265"/>
      <c r="I23" s="15">
        <v>3</v>
      </c>
      <c r="J23" s="16">
        <v>1907649.1665000001</v>
      </c>
      <c r="K23" s="17">
        <v>0.2</v>
      </c>
      <c r="L23" s="3">
        <f t="shared" si="0"/>
        <v>381529.83330000006</v>
      </c>
      <c r="M23" s="18">
        <v>0.19</v>
      </c>
      <c r="N23" s="72">
        <f t="shared" si="1"/>
        <v>362453.34163500008</v>
      </c>
      <c r="O23" s="73"/>
      <c r="P23" s="20"/>
      <c r="Q23" s="70"/>
      <c r="R23" s="71"/>
      <c r="S23" s="71">
        <v>362400</v>
      </c>
    </row>
    <row r="24" spans="2:19" ht="15.75" thickBot="1" x14ac:dyDescent="0.3">
      <c r="B24" s="281" t="s">
        <v>37</v>
      </c>
      <c r="C24" s="282"/>
      <c r="D24" s="282"/>
      <c r="E24" s="283"/>
      <c r="F24" s="287" t="s">
        <v>33</v>
      </c>
      <c r="G24" s="288"/>
      <c r="H24" s="289"/>
      <c r="I24" s="74">
        <v>1.3</v>
      </c>
      <c r="J24" s="45">
        <v>1172160.99</v>
      </c>
      <c r="K24" s="75">
        <v>0.17</v>
      </c>
      <c r="L24" s="3">
        <f t="shared" si="0"/>
        <v>199267.3683</v>
      </c>
      <c r="M24" s="33">
        <v>0.17</v>
      </c>
      <c r="N24" s="27">
        <f t="shared" si="1"/>
        <v>199267.3683</v>
      </c>
      <c r="O24" s="29"/>
      <c r="P24" s="66"/>
      <c r="Q24" s="29"/>
      <c r="R24" s="76"/>
      <c r="S24" s="76">
        <v>199200</v>
      </c>
    </row>
    <row r="25" spans="2:19" ht="15.75" thickBot="1" x14ac:dyDescent="0.3">
      <c r="B25" s="284"/>
      <c r="C25" s="285"/>
      <c r="D25" s="285"/>
      <c r="E25" s="286"/>
      <c r="F25" s="290" t="s">
        <v>20</v>
      </c>
      <c r="G25" s="291"/>
      <c r="H25" s="292"/>
      <c r="I25" s="77">
        <v>3.48</v>
      </c>
      <c r="J25" s="38">
        <v>2823224.25</v>
      </c>
      <c r="K25" s="78">
        <v>0.26</v>
      </c>
      <c r="L25" s="3">
        <f t="shared" si="0"/>
        <v>734038.30500000005</v>
      </c>
      <c r="M25" s="79">
        <v>0.26</v>
      </c>
      <c r="N25" s="42">
        <f t="shared" si="1"/>
        <v>734038.30500000005</v>
      </c>
      <c r="O25" s="80"/>
      <c r="P25" s="45"/>
      <c r="Q25" s="80"/>
      <c r="R25" s="46"/>
      <c r="S25" s="46">
        <v>734000</v>
      </c>
    </row>
    <row r="26" spans="2:19" ht="15.75" thickBot="1" x14ac:dyDescent="0.3">
      <c r="B26" s="293" t="s">
        <v>38</v>
      </c>
      <c r="C26" s="294"/>
      <c r="D26" s="294"/>
      <c r="E26" s="294"/>
      <c r="F26" s="295" t="s">
        <v>39</v>
      </c>
      <c r="G26" s="296"/>
      <c r="H26" s="296"/>
      <c r="I26" s="81">
        <v>5</v>
      </c>
      <c r="J26" s="82">
        <v>3611084.4000000008</v>
      </c>
      <c r="K26" s="83">
        <v>0.22</v>
      </c>
      <c r="L26" s="3">
        <f t="shared" si="0"/>
        <v>794438.5680000002</v>
      </c>
      <c r="M26" s="84">
        <v>0.22</v>
      </c>
      <c r="N26" s="85">
        <f t="shared" si="1"/>
        <v>794438.5680000002</v>
      </c>
      <c r="O26" s="86"/>
      <c r="P26" s="48"/>
      <c r="Q26" s="86"/>
      <c r="R26" s="87"/>
      <c r="S26" s="87">
        <v>794400</v>
      </c>
    </row>
    <row r="27" spans="2:19" ht="15.75" thickBot="1" x14ac:dyDescent="0.3">
      <c r="B27" s="297" t="s">
        <v>40</v>
      </c>
      <c r="C27" s="298"/>
      <c r="D27" s="298"/>
      <c r="E27" s="298"/>
      <c r="F27" s="268" t="s">
        <v>41</v>
      </c>
      <c r="G27" s="269"/>
      <c r="H27" s="269"/>
      <c r="I27" s="88">
        <v>4.75</v>
      </c>
      <c r="J27" s="3">
        <v>3621715.6500000004</v>
      </c>
      <c r="K27" s="4">
        <v>0.22</v>
      </c>
      <c r="L27" s="3">
        <f t="shared" si="0"/>
        <v>796777.44300000009</v>
      </c>
      <c r="M27" s="5">
        <v>0.22</v>
      </c>
      <c r="N27" s="6">
        <f t="shared" si="1"/>
        <v>796777.44300000009</v>
      </c>
      <c r="O27" s="7"/>
      <c r="P27" s="66"/>
      <c r="Q27" s="7"/>
      <c r="R27" s="67"/>
      <c r="S27" s="67">
        <v>796700</v>
      </c>
    </row>
    <row r="28" spans="2:19" ht="15.75" thickBot="1" x14ac:dyDescent="0.3">
      <c r="B28" s="301" t="s">
        <v>43</v>
      </c>
      <c r="C28" s="302"/>
      <c r="D28" s="302"/>
      <c r="E28" s="308"/>
      <c r="F28" s="309" t="s">
        <v>44</v>
      </c>
      <c r="G28" s="310"/>
      <c r="H28" s="311"/>
      <c r="I28" s="81">
        <v>5</v>
      </c>
      <c r="J28" s="82">
        <v>3953400</v>
      </c>
      <c r="K28" s="83">
        <v>0.06</v>
      </c>
      <c r="L28" s="3">
        <f t="shared" si="0"/>
        <v>237204</v>
      </c>
      <c r="M28" s="64">
        <v>0.06</v>
      </c>
      <c r="N28" s="6">
        <f t="shared" si="1"/>
        <v>237204</v>
      </c>
      <c r="O28" s="65"/>
      <c r="P28" s="3"/>
      <c r="Q28" s="65"/>
      <c r="R28" s="8"/>
      <c r="S28" s="8">
        <v>237200</v>
      </c>
    </row>
    <row r="29" spans="2:19" ht="15.75" thickBot="1" x14ac:dyDescent="0.3">
      <c r="B29" s="312" t="s">
        <v>45</v>
      </c>
      <c r="C29" s="313"/>
      <c r="D29" s="313"/>
      <c r="E29" s="314"/>
      <c r="F29" s="315" t="s">
        <v>30</v>
      </c>
      <c r="G29" s="316"/>
      <c r="H29" s="317"/>
      <c r="I29" s="81">
        <v>7.7</v>
      </c>
      <c r="J29" s="82">
        <v>5096636.16</v>
      </c>
      <c r="K29" s="83">
        <v>0</v>
      </c>
      <c r="L29" s="3">
        <f t="shared" si="0"/>
        <v>0</v>
      </c>
      <c r="M29" s="89">
        <v>0</v>
      </c>
      <c r="N29" s="85">
        <f>L29/136*6</f>
        <v>0</v>
      </c>
      <c r="O29" s="90"/>
      <c r="P29" s="82"/>
      <c r="Q29" s="90"/>
      <c r="R29" s="91"/>
      <c r="S29" s="91">
        <v>0</v>
      </c>
    </row>
    <row r="30" spans="2:19" ht="15.75" thickBot="1" x14ac:dyDescent="0.3">
      <c r="B30" s="301" t="s">
        <v>46</v>
      </c>
      <c r="C30" s="302"/>
      <c r="D30" s="302"/>
      <c r="E30" s="302"/>
      <c r="F30" s="268" t="s">
        <v>47</v>
      </c>
      <c r="G30" s="269"/>
      <c r="H30" s="269"/>
      <c r="I30" s="88">
        <v>8.42</v>
      </c>
      <c r="J30" s="3">
        <v>4201633.1280000005</v>
      </c>
      <c r="K30" s="4">
        <v>0</v>
      </c>
      <c r="L30" s="3">
        <f t="shared" si="0"/>
        <v>0</v>
      </c>
      <c r="M30" s="64">
        <v>0</v>
      </c>
      <c r="N30" s="92">
        <f>L30/118*11</f>
        <v>0</v>
      </c>
      <c r="O30" s="65"/>
      <c r="P30" s="3"/>
      <c r="Q30" s="65"/>
      <c r="R30" s="67"/>
      <c r="S30" s="67">
        <v>0</v>
      </c>
    </row>
    <row r="31" spans="2:19" ht="15.75" thickBot="1" x14ac:dyDescent="0.3">
      <c r="B31" s="250" t="s">
        <v>48</v>
      </c>
      <c r="C31" s="251"/>
      <c r="D31" s="251"/>
      <c r="E31" s="303"/>
      <c r="F31" s="295" t="s">
        <v>49</v>
      </c>
      <c r="G31" s="296"/>
      <c r="H31" s="296"/>
      <c r="I31" s="81">
        <v>2.5499999999999998</v>
      </c>
      <c r="J31" s="82">
        <v>2375049.6</v>
      </c>
      <c r="K31" s="83">
        <v>0.15</v>
      </c>
      <c r="L31" s="3">
        <f t="shared" si="0"/>
        <v>356257.44</v>
      </c>
      <c r="M31" s="84">
        <v>2.52E-2</v>
      </c>
      <c r="N31" s="85">
        <f>L31/K31*M31</f>
        <v>59851.249920000002</v>
      </c>
      <c r="O31" s="83"/>
      <c r="P31" s="82"/>
      <c r="Q31" s="83">
        <v>0.14480000000000001</v>
      </c>
      <c r="R31" s="91">
        <f>L31/K31*Q31</f>
        <v>343907.18208000006</v>
      </c>
      <c r="S31" s="91">
        <v>59800</v>
      </c>
    </row>
    <row r="32" spans="2:19" ht="15.75" thickBot="1" x14ac:dyDescent="0.3">
      <c r="B32" s="254"/>
      <c r="C32" s="255"/>
      <c r="D32" s="255"/>
      <c r="E32" s="304"/>
      <c r="F32" s="295" t="s">
        <v>50</v>
      </c>
      <c r="G32" s="296"/>
      <c r="H32" s="296"/>
      <c r="I32" s="81">
        <v>4</v>
      </c>
      <c r="J32" s="82">
        <v>4112160</v>
      </c>
      <c r="K32" s="83">
        <v>0.17</v>
      </c>
      <c r="L32" s="3">
        <f t="shared" si="0"/>
        <v>699067.20000000007</v>
      </c>
      <c r="M32" s="84">
        <v>0.17</v>
      </c>
      <c r="N32" s="85">
        <f>L32/K32*M32</f>
        <v>699067.20000000007</v>
      </c>
      <c r="O32" s="83"/>
      <c r="P32" s="82"/>
      <c r="Q32" s="83"/>
      <c r="R32" s="91"/>
      <c r="S32" s="91">
        <v>699000</v>
      </c>
    </row>
    <row r="33" spans="2:19" ht="15.75" thickBot="1" x14ac:dyDescent="0.3">
      <c r="B33" s="410" t="s">
        <v>171</v>
      </c>
      <c r="C33" s="411"/>
      <c r="D33" s="411"/>
      <c r="E33" s="412"/>
      <c r="F33" s="315" t="s">
        <v>21</v>
      </c>
      <c r="G33" s="316"/>
      <c r="H33" s="317"/>
      <c r="I33" s="413" t="s">
        <v>42</v>
      </c>
      <c r="J33" s="82">
        <v>0</v>
      </c>
      <c r="K33" s="83">
        <v>0.06</v>
      </c>
      <c r="L33" s="3">
        <f>J33*K33</f>
        <v>0</v>
      </c>
      <c r="M33" s="18"/>
      <c r="N33" s="414">
        <f>L33/K33*M33</f>
        <v>0</v>
      </c>
      <c r="O33" s="83"/>
      <c r="P33" s="82"/>
      <c r="Q33" s="83"/>
      <c r="R33" s="87"/>
      <c r="S33" s="87">
        <v>0</v>
      </c>
    </row>
    <row r="34" spans="2:19" ht="18.75" x14ac:dyDescent="0.25">
      <c r="B34" s="305" t="s">
        <v>170</v>
      </c>
      <c r="C34" s="305"/>
      <c r="D34" s="305"/>
      <c r="E34" s="305"/>
      <c r="F34" s="305"/>
      <c r="G34" s="305"/>
      <c r="H34" s="305"/>
      <c r="I34" s="305"/>
      <c r="J34" s="93">
        <f>SUM(J6:J31)</f>
        <v>95336642.536110833</v>
      </c>
      <c r="K34" s="94"/>
      <c r="L34" s="93">
        <f>SUM(L6:L31)</f>
        <v>14153731.382641055</v>
      </c>
      <c r="M34" s="95"/>
      <c r="N34" s="96">
        <f>SUM(N6:N32)</f>
        <v>12485758.606413754</v>
      </c>
      <c r="S34" s="95">
        <f>SUM(S6:S32)</f>
        <v>12484500</v>
      </c>
    </row>
    <row r="35" spans="2:19" ht="15.75" thickBot="1" x14ac:dyDescent="0.3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P35" s="97" t="s">
        <v>51</v>
      </c>
      <c r="R35" s="97" t="s">
        <v>52</v>
      </c>
      <c r="S35" s="98">
        <f>S34-(S27+S26+S23+S13+S12+S11+S10+S9)</f>
        <v>7123200</v>
      </c>
    </row>
    <row r="36" spans="2:19" ht="16.5" thickBot="1" x14ac:dyDescent="0.3">
      <c r="B36" s="99" t="s">
        <v>53</v>
      </c>
      <c r="C36" s="99"/>
      <c r="D36" s="99"/>
      <c r="E36" s="99"/>
      <c r="F36" s="99"/>
      <c r="G36" s="99"/>
      <c r="H36" s="100">
        <f>SUM(S6:S32)</f>
        <v>12484500</v>
      </c>
      <c r="I36" s="94"/>
      <c r="J36" s="330" t="s">
        <v>54</v>
      </c>
      <c r="K36" s="331"/>
      <c r="L36" s="331"/>
      <c r="M36" s="101">
        <f>H36-N11-N12-N13-N9-N10</f>
        <v>9076438.7448630016</v>
      </c>
      <c r="N36" s="95"/>
      <c r="O36" s="95"/>
      <c r="P36" s="95">
        <f>S13+S12+S11+S10+S9</f>
        <v>3407800</v>
      </c>
    </row>
    <row r="37" spans="2:19" ht="15.75" x14ac:dyDescent="0.25">
      <c r="B37" s="99"/>
      <c r="C37" s="99"/>
      <c r="D37" s="99"/>
      <c r="E37" s="99"/>
      <c r="F37" s="99"/>
      <c r="G37" s="99"/>
      <c r="H37" s="102"/>
      <c r="I37" s="94"/>
      <c r="J37" s="94"/>
      <c r="K37" s="94"/>
      <c r="L37" s="94"/>
      <c r="M37" s="95"/>
    </row>
    <row r="38" spans="2:19" x14ac:dyDescent="0.25">
      <c r="B38" s="94" t="s">
        <v>55</v>
      </c>
      <c r="C38" s="94"/>
      <c r="D38" s="94"/>
      <c r="E38" s="94"/>
      <c r="F38" s="94"/>
      <c r="G38" s="94"/>
      <c r="H38" s="103"/>
      <c r="I38" s="94"/>
      <c r="J38" s="94"/>
      <c r="K38" s="94"/>
      <c r="L38" s="94"/>
      <c r="M38" s="95"/>
      <c r="Q38" s="95"/>
    </row>
    <row r="39" spans="2:19" ht="15.75" x14ac:dyDescent="0.25">
      <c r="B39" s="99" t="s">
        <v>56</v>
      </c>
      <c r="C39" s="99"/>
      <c r="D39" s="99"/>
      <c r="E39" s="99"/>
      <c r="F39" s="99"/>
      <c r="G39" s="99"/>
      <c r="H39" s="104">
        <f>S6+S7+S8+S9+S10+S11+S14+S15+S18+S19+S20+S21+S24+S25+S33+S29+S30+S31+S28+S32</f>
        <v>4576600</v>
      </c>
      <c r="I39" s="94" t="s">
        <v>57</v>
      </c>
      <c r="J39" s="94" t="s">
        <v>58</v>
      </c>
      <c r="K39" s="105">
        <f>(H39/5)*3</f>
        <v>2745960</v>
      </c>
      <c r="L39" s="106"/>
    </row>
    <row r="40" spans="2:19" ht="15.75" x14ac:dyDescent="0.25">
      <c r="B40" s="99"/>
      <c r="C40" s="99"/>
      <c r="D40" s="99"/>
      <c r="E40" s="99"/>
      <c r="F40" s="99"/>
      <c r="G40" s="99"/>
      <c r="H40" s="107"/>
      <c r="I40" s="94"/>
      <c r="J40" s="94" t="s">
        <v>59</v>
      </c>
      <c r="K40" s="105">
        <f>(H39/5)*2</f>
        <v>1830640</v>
      </c>
    </row>
    <row r="41" spans="2:19" ht="15.75" x14ac:dyDescent="0.25">
      <c r="B41" s="99"/>
      <c r="C41" s="99"/>
      <c r="D41" s="99"/>
      <c r="E41" s="99"/>
      <c r="F41" s="99"/>
      <c r="G41" s="99"/>
      <c r="H41" s="107"/>
      <c r="I41" s="94"/>
      <c r="J41" s="108"/>
      <c r="K41" s="108"/>
      <c r="L41" s="105"/>
    </row>
    <row r="42" spans="2:19" ht="15.75" customHeight="1" x14ac:dyDescent="0.25">
      <c r="B42" s="99" t="s">
        <v>60</v>
      </c>
      <c r="C42" s="99"/>
      <c r="D42" s="99"/>
      <c r="E42" s="99"/>
      <c r="F42" s="99"/>
      <c r="G42" s="99"/>
      <c r="H42" s="104">
        <f>S12+S13+S16+S17+S22+S23+S26+S27</f>
        <v>7907900</v>
      </c>
      <c r="I42" s="94"/>
      <c r="L42" s="95"/>
    </row>
    <row r="43" spans="2:19" ht="15" customHeight="1" x14ac:dyDescent="0.25">
      <c r="B43" s="94"/>
      <c r="C43" s="94"/>
      <c r="D43" s="94"/>
      <c r="H43" s="94"/>
      <c r="I43" s="94"/>
      <c r="L43" s="95"/>
    </row>
    <row r="44" spans="2:19" x14ac:dyDescent="0.25">
      <c r="B44" s="332" t="s">
        <v>61</v>
      </c>
      <c r="C44" s="332"/>
      <c r="D44" s="332"/>
      <c r="E44" s="332"/>
      <c r="F44" s="109">
        <f>S20+S24</f>
        <v>384900</v>
      </c>
      <c r="G44" s="94"/>
      <c r="H44" s="94"/>
      <c r="I44" s="94"/>
    </row>
    <row r="45" spans="2:19" x14ac:dyDescent="0.25">
      <c r="B45" s="332" t="s">
        <v>62</v>
      </c>
      <c r="C45" s="332"/>
      <c r="D45" s="332"/>
      <c r="E45" s="332"/>
      <c r="F45" s="110">
        <f>S6+S11+S12+S13+S16+S17+S22+S23+S26+S27+S33+S28</f>
        <v>8594400</v>
      </c>
      <c r="G45" s="111" t="s">
        <v>63</v>
      </c>
      <c r="H45" s="112">
        <f>S16+S17+S22+S23+S26+S13+S27</f>
        <v>7562100</v>
      </c>
      <c r="I45" s="94"/>
      <c r="J45" s="113"/>
    </row>
    <row r="46" spans="2:19" x14ac:dyDescent="0.25">
      <c r="B46" s="332" t="s">
        <v>64</v>
      </c>
      <c r="C46" s="332"/>
      <c r="D46" s="332"/>
      <c r="E46" s="332"/>
      <c r="F46" s="110">
        <f>S7+S8+S9+S10+S14+S15+S18+S19+S21+S25+S29+S30+S31+S32</f>
        <v>3505200</v>
      </c>
      <c r="G46" s="94"/>
      <c r="H46" s="94"/>
      <c r="I46" s="94"/>
      <c r="J46" s="114"/>
    </row>
    <row r="47" spans="2:19" ht="11.25" customHeight="1" x14ac:dyDescent="0.25">
      <c r="B47" s="94"/>
      <c r="C47" s="94"/>
      <c r="D47" s="94"/>
      <c r="E47" s="94"/>
      <c r="F47" s="94"/>
      <c r="G47" s="94"/>
      <c r="H47" s="115"/>
      <c r="I47" s="94"/>
    </row>
    <row r="48" spans="2:19" ht="21" customHeight="1" x14ac:dyDescent="0.25">
      <c r="B48" s="333" t="s">
        <v>65</v>
      </c>
      <c r="C48" s="333"/>
      <c r="D48" s="333"/>
      <c r="E48" s="333"/>
      <c r="F48" s="333"/>
      <c r="G48" s="333"/>
      <c r="H48" s="333"/>
      <c r="I48" s="333"/>
      <c r="J48" s="333"/>
      <c r="K48" s="333"/>
      <c r="L48" s="333"/>
    </row>
    <row r="49" spans="2:14" ht="20.25" customHeight="1" x14ac:dyDescent="0.25"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</row>
    <row r="50" spans="2:14" ht="15" customHeight="1" x14ac:dyDescent="0.25">
      <c r="B50" s="318" t="s">
        <v>66</v>
      </c>
      <c r="C50" s="318"/>
      <c r="D50" s="318"/>
      <c r="E50" s="318"/>
      <c r="F50" s="318"/>
      <c r="G50" s="318"/>
      <c r="H50" s="318"/>
      <c r="I50" s="318"/>
      <c r="J50" s="318"/>
      <c r="K50" s="318"/>
      <c r="L50" s="318"/>
      <c r="M50" s="334"/>
    </row>
    <row r="51" spans="2:14" ht="15" customHeight="1" x14ac:dyDescent="0.25">
      <c r="B51" s="318" t="s">
        <v>67</v>
      </c>
      <c r="C51" s="318"/>
      <c r="D51" s="318"/>
      <c r="E51" s="318"/>
      <c r="F51" s="318"/>
      <c r="G51" s="318"/>
      <c r="H51" s="318"/>
      <c r="I51" s="318"/>
      <c r="J51" s="318"/>
      <c r="K51" s="318"/>
      <c r="L51" s="318"/>
    </row>
    <row r="52" spans="2:14" ht="15" customHeight="1" x14ac:dyDescent="0.25"/>
    <row r="53" spans="2:14" ht="24.75" customHeight="1" thickBot="1" x14ac:dyDescent="0.3"/>
    <row r="54" spans="2:14" ht="51.75" customHeight="1" thickBot="1" x14ac:dyDescent="0.3">
      <c r="B54" s="319" t="s">
        <v>68</v>
      </c>
      <c r="C54" s="320"/>
      <c r="D54" s="116" t="s">
        <v>69</v>
      </c>
      <c r="E54" s="117" t="s">
        <v>70</v>
      </c>
      <c r="F54" s="118" t="s">
        <v>71</v>
      </c>
      <c r="G54" s="117" t="s">
        <v>72</v>
      </c>
      <c r="H54" s="119" t="s">
        <v>73</v>
      </c>
      <c r="J54" s="321" t="s">
        <v>74</v>
      </c>
      <c r="K54" s="321"/>
      <c r="L54" s="120">
        <f>S13+S12</f>
        <v>2309700</v>
      </c>
    </row>
    <row r="55" spans="2:14" ht="15.75" thickBot="1" x14ac:dyDescent="0.3">
      <c r="B55" s="322" t="s">
        <v>75</v>
      </c>
      <c r="C55" s="323"/>
      <c r="D55" s="121">
        <v>876</v>
      </c>
      <c r="E55" s="122">
        <f>(K40*D55)/D99</f>
        <v>36002.888060706748</v>
      </c>
      <c r="F55" s="123">
        <f>(N58*D55)/N62</f>
        <v>38330.311850311853</v>
      </c>
      <c r="G55" s="122">
        <f>E55+F55</f>
        <v>74333.199911018601</v>
      </c>
      <c r="H55" s="122">
        <v>74300</v>
      </c>
      <c r="J55" s="124" t="s">
        <v>76</v>
      </c>
      <c r="K55" s="124"/>
      <c r="L55" s="125">
        <f>S27</f>
        <v>796700</v>
      </c>
    </row>
    <row r="56" spans="2:14" ht="15.75" thickBot="1" x14ac:dyDescent="0.3">
      <c r="B56" s="324" t="s">
        <v>77</v>
      </c>
      <c r="C56" s="325"/>
      <c r="D56" s="126">
        <v>685</v>
      </c>
      <c r="E56" s="127">
        <f>(K40*D56)/D99</f>
        <v>28152.943289479594</v>
      </c>
      <c r="F56" s="128">
        <f>(N60*D56)/N63</f>
        <v>40846.740611013818</v>
      </c>
      <c r="G56" s="127">
        <f>E56+F56</f>
        <v>68999.683900493415</v>
      </c>
      <c r="H56" s="122">
        <v>69000</v>
      </c>
      <c r="J56" s="129" t="s">
        <v>78</v>
      </c>
      <c r="K56" s="129"/>
      <c r="L56" s="130">
        <f>S26</f>
        <v>794400</v>
      </c>
    </row>
    <row r="57" spans="2:14" ht="15.75" thickBot="1" x14ac:dyDescent="0.3">
      <c r="B57" s="326" t="s">
        <v>79</v>
      </c>
      <c r="C57" s="327"/>
      <c r="D57" s="121">
        <v>4584</v>
      </c>
      <c r="E57" s="122">
        <f>(K40*D57)/D99</f>
        <v>188398.67450945175</v>
      </c>
      <c r="F57" s="131">
        <f>L56</f>
        <v>794400</v>
      </c>
      <c r="G57" s="122">
        <f t="shared" ref="G57:G95" si="2">E57+F57</f>
        <v>982798.67450945172</v>
      </c>
      <c r="H57" s="122">
        <v>188400</v>
      </c>
      <c r="I57" s="2" t="s">
        <v>80</v>
      </c>
      <c r="J57" s="328" t="s">
        <v>81</v>
      </c>
      <c r="K57" s="329"/>
      <c r="L57" s="132">
        <f>S17</f>
        <v>947100</v>
      </c>
      <c r="M57" s="133" t="s">
        <v>82</v>
      </c>
      <c r="N57" s="134">
        <f>L57*60%</f>
        <v>568260</v>
      </c>
    </row>
    <row r="58" spans="2:14" ht="15.75" thickBot="1" x14ac:dyDescent="0.3">
      <c r="B58" s="324" t="s">
        <v>83</v>
      </c>
      <c r="C58" s="325"/>
      <c r="D58" s="126">
        <v>414</v>
      </c>
      <c r="E58" s="127">
        <f>(K40*D58)/D99</f>
        <v>17015.063535539492</v>
      </c>
      <c r="F58" s="128">
        <f>(N60*D58)/N63</f>
        <v>24686.935201401051</v>
      </c>
      <c r="G58" s="127">
        <f t="shared" si="2"/>
        <v>41701.998736940543</v>
      </c>
      <c r="H58" s="122">
        <v>41700</v>
      </c>
      <c r="J58" s="339" t="s">
        <v>84</v>
      </c>
      <c r="K58" s="339"/>
      <c r="L58" s="135">
        <f>S23</f>
        <v>362400</v>
      </c>
      <c r="M58" s="136" t="s">
        <v>85</v>
      </c>
      <c r="N58" s="137">
        <f>L57*40%</f>
        <v>378840</v>
      </c>
    </row>
    <row r="59" spans="2:14" ht="15.75" thickBot="1" x14ac:dyDescent="0.3">
      <c r="B59" s="322" t="s">
        <v>86</v>
      </c>
      <c r="C59" s="323"/>
      <c r="D59" s="121">
        <v>1536</v>
      </c>
      <c r="E59" s="122">
        <f>(K40*D59)/D99</f>
        <v>63128.351668088544</v>
      </c>
      <c r="F59" s="123">
        <f>(N58*D59)/N62</f>
        <v>67209.313929313925</v>
      </c>
      <c r="G59" s="122">
        <f t="shared" si="2"/>
        <v>130337.66559740246</v>
      </c>
      <c r="H59" s="122">
        <v>130300</v>
      </c>
      <c r="J59" s="340" t="s">
        <v>87</v>
      </c>
      <c r="K59" s="340"/>
      <c r="L59" s="138">
        <f>S22</f>
        <v>2298300</v>
      </c>
      <c r="M59" s="139" t="s">
        <v>88</v>
      </c>
      <c r="N59" s="140">
        <f>(L59/5)*3</f>
        <v>1378980</v>
      </c>
    </row>
    <row r="60" spans="2:14" ht="15.75" thickBot="1" x14ac:dyDescent="0.3">
      <c r="B60" s="324" t="s">
        <v>89</v>
      </c>
      <c r="C60" s="325"/>
      <c r="D60" s="126">
        <v>1013</v>
      </c>
      <c r="E60" s="127">
        <f>(K40*D60)/D99</f>
        <v>41633.476718602666</v>
      </c>
      <c r="F60" s="128">
        <f>(N60*D60)/N63</f>
        <v>60405.471881689045</v>
      </c>
      <c r="G60" s="127">
        <f t="shared" si="2"/>
        <v>102038.94860029171</v>
      </c>
      <c r="H60" s="122">
        <v>102000</v>
      </c>
      <c r="J60" s="341" t="s">
        <v>90</v>
      </c>
      <c r="K60" s="341"/>
      <c r="L60" s="141">
        <f>S16</f>
        <v>399300</v>
      </c>
      <c r="M60" s="136" t="s">
        <v>59</v>
      </c>
      <c r="N60" s="142">
        <f>(L59/5)*2</f>
        <v>919320</v>
      </c>
    </row>
    <row r="61" spans="2:14" ht="15.75" thickBot="1" x14ac:dyDescent="0.3">
      <c r="B61" s="322" t="s">
        <v>91</v>
      </c>
      <c r="C61" s="323"/>
      <c r="D61" s="121">
        <v>253</v>
      </c>
      <c r="E61" s="122">
        <f>(K40*D61)/D99</f>
        <v>10398.094382829689</v>
      </c>
      <c r="F61" s="123">
        <f>(N58*D61)/N62</f>
        <v>11070.28413028413</v>
      </c>
      <c r="G61" s="122">
        <f>E61+F61</f>
        <v>21468.378513113821</v>
      </c>
      <c r="H61" s="122">
        <v>21500</v>
      </c>
      <c r="L61" s="143">
        <f>SUM(L54:L60)</f>
        <v>7907900</v>
      </c>
    </row>
    <row r="62" spans="2:14" ht="15.75" thickBot="1" x14ac:dyDescent="0.3">
      <c r="B62" s="335" t="s">
        <v>92</v>
      </c>
      <c r="C62" s="336"/>
      <c r="D62" s="126">
        <v>2168</v>
      </c>
      <c r="E62" s="127">
        <f>(K40*D62)/D99</f>
        <v>89103.038031520817</v>
      </c>
      <c r="F62" s="144">
        <f>(L60*D62)/L64</f>
        <v>162905.98419269852</v>
      </c>
      <c r="G62" s="127">
        <f>E62+F62</f>
        <v>252009.02222421934</v>
      </c>
      <c r="H62" s="122">
        <v>262000</v>
      </c>
      <c r="J62" s="145" t="s">
        <v>93</v>
      </c>
      <c r="K62" s="145"/>
      <c r="L62" s="146">
        <f>D55+D59+D61+D68+D71+D72+D73+D75+D85+D87+D92+D94+D93+D74</f>
        <v>11197</v>
      </c>
      <c r="M62" s="147" t="s">
        <v>94</v>
      </c>
      <c r="N62" s="148">
        <f>L62-D93</f>
        <v>8658</v>
      </c>
    </row>
    <row r="63" spans="2:14" ht="15.75" thickBot="1" x14ac:dyDescent="0.3">
      <c r="B63" s="337" t="s">
        <v>95</v>
      </c>
      <c r="C63" s="338"/>
      <c r="D63" s="121">
        <v>402</v>
      </c>
      <c r="E63" s="122">
        <f>(K40*D63)/D99</f>
        <v>16521.873288132549</v>
      </c>
      <c r="F63" s="149">
        <f>(N60*D63)/N63</f>
        <v>23971.371862230008</v>
      </c>
      <c r="G63" s="122">
        <f t="shared" si="2"/>
        <v>40493.245150362556</v>
      </c>
      <c r="H63" s="122">
        <v>40500</v>
      </c>
      <c r="J63" s="150" t="s">
        <v>96</v>
      </c>
      <c r="K63" s="150"/>
      <c r="L63" s="151">
        <f>D56+D58+D60+D63+D64+D65+D66+D67+D69+D70+D76+D77+D78+D82+D84+D86+D88+D90+D91+D95+D97</f>
        <v>26216</v>
      </c>
      <c r="M63" s="152" t="s">
        <v>97</v>
      </c>
      <c r="N63" s="152">
        <f>L63-D97</f>
        <v>15417</v>
      </c>
    </row>
    <row r="64" spans="2:14" ht="15.75" thickBot="1" x14ac:dyDescent="0.3">
      <c r="B64" s="324" t="s">
        <v>98</v>
      </c>
      <c r="C64" s="325"/>
      <c r="D64" s="126">
        <v>717</v>
      </c>
      <c r="E64" s="127">
        <f>(K40*D64)/D99</f>
        <v>29468.11728256477</v>
      </c>
      <c r="F64" s="128">
        <f>(N60*D64)/N63</f>
        <v>42754.909515469939</v>
      </c>
      <c r="G64" s="127">
        <f t="shared" si="2"/>
        <v>72223.026798034713</v>
      </c>
      <c r="H64" s="122">
        <v>72200</v>
      </c>
      <c r="J64" s="153" t="s">
        <v>99</v>
      </c>
      <c r="K64" s="153"/>
      <c r="L64" s="154">
        <f>D62+D79+D80+D83</f>
        <v>5314</v>
      </c>
    </row>
    <row r="65" spans="1:12" ht="15.75" thickBot="1" x14ac:dyDescent="0.3">
      <c r="B65" s="337" t="s">
        <v>100</v>
      </c>
      <c r="C65" s="338"/>
      <c r="D65" s="121">
        <v>244</v>
      </c>
      <c r="E65" s="122">
        <f>(K40*D65)/D99</f>
        <v>10028.201697274482</v>
      </c>
      <c r="F65" s="149">
        <f>(N60*D65)/N63</f>
        <v>14549.787896477914</v>
      </c>
      <c r="G65" s="122">
        <f t="shared" si="2"/>
        <v>24577.989593752398</v>
      </c>
      <c r="H65" s="122">
        <v>24600</v>
      </c>
      <c r="J65" s="155" t="s">
        <v>101</v>
      </c>
      <c r="K65" s="155"/>
      <c r="L65" s="156">
        <f>D57</f>
        <v>4584</v>
      </c>
    </row>
    <row r="66" spans="1:12" ht="15.75" thickBot="1" x14ac:dyDescent="0.3">
      <c r="B66" s="324" t="s">
        <v>102</v>
      </c>
      <c r="C66" s="325"/>
      <c r="D66" s="126">
        <v>874</v>
      </c>
      <c r="E66" s="127">
        <f>(K40*D66)/D99</f>
        <v>35920.689686138925</v>
      </c>
      <c r="F66" s="128">
        <f>(N60*D66)/N63</f>
        <v>52116.863202957771</v>
      </c>
      <c r="G66" s="127">
        <f t="shared" si="2"/>
        <v>88037.552889096696</v>
      </c>
      <c r="H66" s="122">
        <v>88000</v>
      </c>
      <c r="J66" s="157" t="s">
        <v>103</v>
      </c>
      <c r="K66" s="157"/>
      <c r="L66" s="158">
        <f>D81</f>
        <v>3528</v>
      </c>
    </row>
    <row r="67" spans="1:12" ht="15.75" thickBot="1" x14ac:dyDescent="0.3">
      <c r="B67" s="337" t="s">
        <v>104</v>
      </c>
      <c r="C67" s="338"/>
      <c r="D67" s="121">
        <v>175</v>
      </c>
      <c r="E67" s="122">
        <f>(K40*D67)/D99</f>
        <v>7192.3577746845676</v>
      </c>
      <c r="F67" s="149">
        <f>(N60*D67)/N63</f>
        <v>10435.298696244405</v>
      </c>
      <c r="G67" s="122">
        <f t="shared" si="2"/>
        <v>17627.656470928974</v>
      </c>
      <c r="H67" s="122">
        <v>17600</v>
      </c>
      <c r="J67" s="159" t="s">
        <v>105</v>
      </c>
      <c r="K67" s="159"/>
      <c r="L67" s="160">
        <f>D89</f>
        <v>4502</v>
      </c>
    </row>
    <row r="68" spans="1:12" ht="15.75" thickBot="1" x14ac:dyDescent="0.3">
      <c r="B68" s="348" t="s">
        <v>106</v>
      </c>
      <c r="C68" s="349"/>
      <c r="D68" s="126">
        <v>835</v>
      </c>
      <c r="E68" s="127">
        <f>(K40*D68)/D99</f>
        <v>34317.821382066366</v>
      </c>
      <c r="F68" s="161">
        <f>(N58*D68)/N62</f>
        <v>36536.313236313239</v>
      </c>
      <c r="G68" s="127">
        <f t="shared" si="2"/>
        <v>70854.134618379612</v>
      </c>
      <c r="H68" s="122">
        <v>71900</v>
      </c>
    </row>
    <row r="69" spans="1:12" ht="15.75" thickBot="1" x14ac:dyDescent="0.3">
      <c r="B69" s="337" t="s">
        <v>107</v>
      </c>
      <c r="C69" s="338"/>
      <c r="D69" s="121">
        <v>1899</v>
      </c>
      <c r="E69" s="122">
        <f>(K40*D69)/D99</f>
        <v>78047.356652148534</v>
      </c>
      <c r="F69" s="149">
        <f>(N60*D69)/N63</f>
        <v>113237.89842381787</v>
      </c>
      <c r="G69" s="122">
        <f t="shared" si="2"/>
        <v>191285.25507596642</v>
      </c>
      <c r="H69" s="122">
        <v>191300</v>
      </c>
    </row>
    <row r="70" spans="1:12" ht="15.75" thickBot="1" x14ac:dyDescent="0.3">
      <c r="B70" s="324" t="s">
        <v>108</v>
      </c>
      <c r="C70" s="325"/>
      <c r="D70" s="126">
        <v>712</v>
      </c>
      <c r="E70" s="127">
        <f>(K40*D70)/D99</f>
        <v>29262.62134614521</v>
      </c>
      <c r="F70" s="128">
        <f>(N60*D70)/N63</f>
        <v>42456.75812414867</v>
      </c>
      <c r="G70" s="127">
        <f t="shared" si="2"/>
        <v>71719.379470293876</v>
      </c>
      <c r="H70" s="122">
        <v>71700</v>
      </c>
    </row>
    <row r="71" spans="1:12" ht="15.75" thickBot="1" x14ac:dyDescent="0.3">
      <c r="B71" s="322" t="s">
        <v>109</v>
      </c>
      <c r="C71" s="323"/>
      <c r="D71" s="121">
        <v>314</v>
      </c>
      <c r="E71" s="122">
        <f>(K40*D71)/D99</f>
        <v>12905.14480714831</v>
      </c>
      <c r="F71" s="123">
        <f>(N58*D71)/N62</f>
        <v>13739.404019404019</v>
      </c>
      <c r="G71" s="122">
        <f>E71+F71</f>
        <v>26644.548826552331</v>
      </c>
      <c r="H71" s="122">
        <v>26600</v>
      </c>
      <c r="J71" s="350" t="s">
        <v>110</v>
      </c>
      <c r="K71" s="350"/>
    </row>
    <row r="72" spans="1:12" ht="15.75" thickBot="1" x14ac:dyDescent="0.3">
      <c r="B72" s="322" t="s">
        <v>111</v>
      </c>
      <c r="C72" s="323"/>
      <c r="D72" s="126">
        <v>869</v>
      </c>
      <c r="E72" s="127">
        <f>(K40*D72)/D99</f>
        <v>35715.193749719365</v>
      </c>
      <c r="F72" s="161">
        <f>(N58*D72)/N62</f>
        <v>38024.019404019404</v>
      </c>
      <c r="G72" s="127">
        <f t="shared" si="2"/>
        <v>73739.213153738761</v>
      </c>
      <c r="H72" s="122">
        <v>73700</v>
      </c>
      <c r="J72" s="162" t="s">
        <v>112</v>
      </c>
      <c r="K72" s="162" t="s">
        <v>113</v>
      </c>
      <c r="L72" s="162"/>
    </row>
    <row r="73" spans="1:12" ht="15.75" thickBot="1" x14ac:dyDescent="0.3">
      <c r="B73" s="322" t="s">
        <v>114</v>
      </c>
      <c r="C73" s="323"/>
      <c r="D73" s="121">
        <v>342</v>
      </c>
      <c r="E73" s="122">
        <f>(K40*D73)/D99</f>
        <v>14055.922051097839</v>
      </c>
      <c r="F73" s="123">
        <f>(N58*D73)/N62</f>
        <v>14964.573804573805</v>
      </c>
      <c r="G73" s="122">
        <f t="shared" si="2"/>
        <v>29020.495855671645</v>
      </c>
      <c r="H73" s="122">
        <v>29000</v>
      </c>
      <c r="J73" s="163" t="s">
        <v>115</v>
      </c>
      <c r="K73" s="342" t="s">
        <v>116</v>
      </c>
      <c r="L73" s="343"/>
    </row>
    <row r="74" spans="1:12" ht="15.75" thickBot="1" x14ac:dyDescent="0.3">
      <c r="A74" s="164"/>
      <c r="B74" s="322" t="s">
        <v>117</v>
      </c>
      <c r="C74" s="323"/>
      <c r="D74" s="126">
        <v>474</v>
      </c>
      <c r="E74" s="127">
        <f>(K40*D74)/D99</f>
        <v>19481.014772574199</v>
      </c>
      <c r="F74" s="123">
        <f>(N58*D74)/N62</f>
        <v>20740.374220374219</v>
      </c>
      <c r="G74" s="127">
        <f>E74+F74</f>
        <v>40221.388992948414</v>
      </c>
      <c r="H74" s="122">
        <v>40200</v>
      </c>
      <c r="J74" s="156" t="s">
        <v>118</v>
      </c>
      <c r="K74" s="344" t="s">
        <v>79</v>
      </c>
      <c r="L74" s="345"/>
    </row>
    <row r="75" spans="1:12" ht="15.75" thickBot="1" x14ac:dyDescent="0.3">
      <c r="A75" s="164"/>
      <c r="B75" s="322" t="s">
        <v>119</v>
      </c>
      <c r="C75" s="323"/>
      <c r="D75" s="121">
        <v>225</v>
      </c>
      <c r="E75" s="122">
        <f>(K40*D75)/D99</f>
        <v>9247.3171388801584</v>
      </c>
      <c r="F75" s="123">
        <f>(N58*D75)/N62</f>
        <v>9845.1143451143453</v>
      </c>
      <c r="G75" s="122">
        <f t="shared" si="2"/>
        <v>19092.431483994504</v>
      </c>
      <c r="H75" s="122">
        <v>19100</v>
      </c>
      <c r="J75" s="158" t="s">
        <v>120</v>
      </c>
      <c r="K75" s="346" t="s">
        <v>121</v>
      </c>
      <c r="L75" s="347"/>
    </row>
    <row r="76" spans="1:12" ht="15.75" thickBot="1" x14ac:dyDescent="0.3">
      <c r="B76" s="324" t="s">
        <v>122</v>
      </c>
      <c r="C76" s="325"/>
      <c r="D76" s="126">
        <v>150</v>
      </c>
      <c r="E76" s="127">
        <f>(K40*D76)/D99</f>
        <v>6164.8780925867723</v>
      </c>
      <c r="F76" s="128">
        <f>(N60*D76)/N63</f>
        <v>8944.5417396380617</v>
      </c>
      <c r="G76" s="127">
        <f t="shared" si="2"/>
        <v>15109.419832224834</v>
      </c>
      <c r="H76" s="122">
        <v>15100</v>
      </c>
      <c r="J76" s="160" t="s">
        <v>123</v>
      </c>
      <c r="K76" s="357" t="s">
        <v>124</v>
      </c>
      <c r="L76" s="358"/>
    </row>
    <row r="77" spans="1:12" ht="15.75" thickBot="1" x14ac:dyDescent="0.3">
      <c r="B77" s="337" t="s">
        <v>125</v>
      </c>
      <c r="C77" s="338"/>
      <c r="D77" s="121">
        <v>495</v>
      </c>
      <c r="E77" s="122">
        <f>(K40*D77)/D99</f>
        <v>20344.097705536347</v>
      </c>
      <c r="F77" s="149">
        <f>(N60*D77)/N63</f>
        <v>29516.987740805605</v>
      </c>
      <c r="G77" s="122">
        <f t="shared" si="2"/>
        <v>49861.085446341953</v>
      </c>
      <c r="H77" s="122">
        <v>49900</v>
      </c>
      <c r="J77" s="359" t="s">
        <v>126</v>
      </c>
      <c r="K77" s="362" t="s">
        <v>127</v>
      </c>
      <c r="L77" s="363"/>
    </row>
    <row r="78" spans="1:12" ht="15.75" thickBot="1" x14ac:dyDescent="0.3">
      <c r="B78" s="324" t="s">
        <v>128</v>
      </c>
      <c r="C78" s="325"/>
      <c r="D78" s="126">
        <v>836</v>
      </c>
      <c r="E78" s="127">
        <f>(K40*D78)/D99</f>
        <v>34358.920569350274</v>
      </c>
      <c r="F78" s="128">
        <f>(N60*D78)/N63</f>
        <v>49850.912628916129</v>
      </c>
      <c r="G78" s="127">
        <f t="shared" si="2"/>
        <v>84209.833198266395</v>
      </c>
      <c r="H78" s="122">
        <v>84200</v>
      </c>
      <c r="J78" s="360"/>
      <c r="K78" s="364"/>
      <c r="L78" s="365"/>
    </row>
    <row r="79" spans="1:12" ht="15.75" thickBot="1" x14ac:dyDescent="0.3">
      <c r="B79" s="368" t="s">
        <v>129</v>
      </c>
      <c r="C79" s="369"/>
      <c r="D79" s="121">
        <v>370</v>
      </c>
      <c r="E79" s="122">
        <f>(K40*D79)/D99</f>
        <v>15206.69929504737</v>
      </c>
      <c r="F79" s="165">
        <f>(L60*D79)/L64</f>
        <v>27802.220549491907</v>
      </c>
      <c r="G79" s="122">
        <f t="shared" si="2"/>
        <v>43008.919844539276</v>
      </c>
      <c r="H79" s="122">
        <v>33000</v>
      </c>
      <c r="J79" s="360"/>
      <c r="K79" s="364"/>
      <c r="L79" s="365"/>
    </row>
    <row r="80" spans="1:12" ht="15.75" thickBot="1" x14ac:dyDescent="0.3">
      <c r="B80" s="335" t="s">
        <v>130</v>
      </c>
      <c r="C80" s="336"/>
      <c r="D80" s="126">
        <v>599</v>
      </c>
      <c r="E80" s="127">
        <f>(K40*D80)/D99</f>
        <v>24618.413183063178</v>
      </c>
      <c r="F80" s="144">
        <f>(L60*D80)/L64</f>
        <v>45009.540835528795</v>
      </c>
      <c r="G80" s="127">
        <f t="shared" si="2"/>
        <v>69627.954018591976</v>
      </c>
      <c r="H80" s="122">
        <v>60000</v>
      </c>
      <c r="J80" s="360"/>
      <c r="K80" s="364"/>
      <c r="L80" s="365"/>
    </row>
    <row r="81" spans="2:12" ht="15.75" thickBot="1" x14ac:dyDescent="0.3">
      <c r="B81" s="370" t="s">
        <v>121</v>
      </c>
      <c r="C81" s="371"/>
      <c r="D81" s="121">
        <v>3528</v>
      </c>
      <c r="E81" s="122">
        <f>(K40*D81)/D99</f>
        <v>144997.93273764089</v>
      </c>
      <c r="F81" s="166">
        <f>L58</f>
        <v>362400</v>
      </c>
      <c r="G81" s="122">
        <f t="shared" si="2"/>
        <v>507397.93273764092</v>
      </c>
      <c r="H81" s="122">
        <v>145800</v>
      </c>
      <c r="I81" s="2" t="s">
        <v>80</v>
      </c>
      <c r="J81" s="360"/>
      <c r="K81" s="364"/>
      <c r="L81" s="365"/>
    </row>
    <row r="82" spans="2:12" ht="15.75" thickBot="1" x14ac:dyDescent="0.3">
      <c r="B82" s="372" t="s">
        <v>131</v>
      </c>
      <c r="C82" s="373"/>
      <c r="D82" s="126">
        <v>367</v>
      </c>
      <c r="E82" s="127">
        <f>(K40*D82)/D99</f>
        <v>15083.401733195635</v>
      </c>
      <c r="F82" s="128">
        <f>(N60*D82)/N63</f>
        <v>21884.312122981126</v>
      </c>
      <c r="G82" s="127">
        <f t="shared" si="2"/>
        <v>36967.713856176764</v>
      </c>
      <c r="H82" s="122">
        <v>37000</v>
      </c>
      <c r="J82" s="360"/>
      <c r="K82" s="364"/>
      <c r="L82" s="365"/>
    </row>
    <row r="83" spans="2:12" ht="15.75" thickBot="1" x14ac:dyDescent="0.3">
      <c r="B83" s="368" t="s">
        <v>132</v>
      </c>
      <c r="C83" s="369"/>
      <c r="D83" s="121">
        <v>2177</v>
      </c>
      <c r="E83" s="122">
        <f>(K40*D83)/D99</f>
        <v>89472.930717076015</v>
      </c>
      <c r="F83" s="165">
        <f>(L60*D83)/L64</f>
        <v>163582.25442228076</v>
      </c>
      <c r="G83" s="122">
        <f t="shared" si="2"/>
        <v>253055.18513935676</v>
      </c>
      <c r="H83" s="122">
        <v>263000</v>
      </c>
      <c r="J83" s="361"/>
      <c r="K83" s="366"/>
      <c r="L83" s="367"/>
    </row>
    <row r="84" spans="2:12" ht="15.75" thickBot="1" x14ac:dyDescent="0.3">
      <c r="B84" s="324" t="s">
        <v>133</v>
      </c>
      <c r="C84" s="325"/>
      <c r="D84" s="126">
        <v>942</v>
      </c>
      <c r="E84" s="127">
        <f>(K40*D84)/D99</f>
        <v>38715.43442144493</v>
      </c>
      <c r="F84" s="128">
        <f>(N60*D84)/N63</f>
        <v>56171.72212492703</v>
      </c>
      <c r="G84" s="127">
        <f t="shared" si="2"/>
        <v>94887.15654637196</v>
      </c>
      <c r="H84" s="122">
        <v>94900</v>
      </c>
      <c r="J84" s="378" t="s">
        <v>134</v>
      </c>
      <c r="K84" s="351" t="s">
        <v>135</v>
      </c>
      <c r="L84" s="352"/>
    </row>
    <row r="85" spans="2:12" ht="15.75" thickBot="1" x14ac:dyDescent="0.3">
      <c r="B85" s="322" t="s">
        <v>136</v>
      </c>
      <c r="C85" s="323"/>
      <c r="D85" s="121">
        <v>771</v>
      </c>
      <c r="E85" s="122">
        <f>(K40*D85)/D99</f>
        <v>31687.47339589601</v>
      </c>
      <c r="F85" s="123">
        <f>(N58*D85)/N62</f>
        <v>33735.925155925157</v>
      </c>
      <c r="G85" s="122">
        <f t="shared" si="2"/>
        <v>65423.39855182117</v>
      </c>
      <c r="H85" s="122">
        <v>65400</v>
      </c>
      <c r="J85" s="379"/>
      <c r="K85" s="353"/>
      <c r="L85" s="354"/>
    </row>
    <row r="86" spans="2:12" ht="15.75" thickBot="1" x14ac:dyDescent="0.3">
      <c r="B86" s="324" t="s">
        <v>137</v>
      </c>
      <c r="C86" s="325"/>
      <c r="D86" s="126">
        <v>2160</v>
      </c>
      <c r="E86" s="127">
        <f>(K40*D86)/D99</f>
        <v>88774.244533249512</v>
      </c>
      <c r="F86" s="128">
        <f>(N60*D86)/N63</f>
        <v>128801.40105078809</v>
      </c>
      <c r="G86" s="127">
        <f t="shared" si="2"/>
        <v>217575.64558403759</v>
      </c>
      <c r="H86" s="122">
        <v>217600</v>
      </c>
      <c r="J86" s="355" t="s">
        <v>138</v>
      </c>
      <c r="K86" s="356" t="s">
        <v>139</v>
      </c>
      <c r="L86" s="356"/>
    </row>
    <row r="87" spans="2:12" ht="15.75" thickBot="1" x14ac:dyDescent="0.3">
      <c r="B87" s="322" t="s">
        <v>140</v>
      </c>
      <c r="C87" s="323"/>
      <c r="D87" s="121">
        <v>524</v>
      </c>
      <c r="E87" s="122">
        <f>(K40*D87)/D99</f>
        <v>21535.97413676979</v>
      </c>
      <c r="F87" s="123">
        <f>(N58*D87)/N62</f>
        <v>22928.177408177409</v>
      </c>
      <c r="G87" s="122">
        <f t="shared" si="2"/>
        <v>44464.151544947199</v>
      </c>
      <c r="H87" s="122">
        <v>44500</v>
      </c>
      <c r="J87" s="355"/>
      <c r="K87" s="356"/>
      <c r="L87" s="356"/>
    </row>
    <row r="88" spans="2:12" ht="15.75" thickBot="1" x14ac:dyDescent="0.3">
      <c r="B88" s="324" t="s">
        <v>141</v>
      </c>
      <c r="C88" s="325"/>
      <c r="D88" s="126">
        <v>1026</v>
      </c>
      <c r="E88" s="127">
        <f>(K40*D88)/D99</f>
        <v>42167.766153293524</v>
      </c>
      <c r="F88" s="128">
        <f>(N60*D88)/N63</f>
        <v>61180.665499124341</v>
      </c>
      <c r="G88" s="127">
        <f t="shared" si="2"/>
        <v>103348.43165241787</v>
      </c>
      <c r="H88" s="122">
        <v>103500</v>
      </c>
      <c r="J88" s="355"/>
      <c r="K88" s="356"/>
      <c r="L88" s="356"/>
    </row>
    <row r="89" spans="2:12" ht="15.75" thickBot="1" x14ac:dyDescent="0.3">
      <c r="B89" s="374" t="s">
        <v>124</v>
      </c>
      <c r="C89" s="375"/>
      <c r="D89" s="121">
        <v>4502</v>
      </c>
      <c r="E89" s="122">
        <f>(K40*D89)/D99</f>
        <v>185028.54115217098</v>
      </c>
      <c r="F89" s="167">
        <f>L55</f>
        <v>796700</v>
      </c>
      <c r="G89" s="122">
        <f t="shared" si="2"/>
        <v>981728.54115217098</v>
      </c>
      <c r="H89" s="122">
        <v>185000</v>
      </c>
      <c r="I89" s="2" t="s">
        <v>80</v>
      </c>
      <c r="J89" s="355"/>
      <c r="K89" s="356"/>
      <c r="L89" s="356"/>
    </row>
    <row r="90" spans="2:12" ht="15.75" thickBot="1" x14ac:dyDescent="0.3">
      <c r="B90" s="324" t="s">
        <v>142</v>
      </c>
      <c r="C90" s="325"/>
      <c r="D90" s="126">
        <v>579</v>
      </c>
      <c r="E90" s="127">
        <f>(K40*D90)/D99</f>
        <v>23796.429437384941</v>
      </c>
      <c r="F90" s="128">
        <f>(N60*D90)/N63</f>
        <v>34525.931115002917</v>
      </c>
      <c r="G90" s="127">
        <f t="shared" si="2"/>
        <v>58322.360552387858</v>
      </c>
      <c r="H90" s="122">
        <v>58300</v>
      </c>
      <c r="J90" s="355"/>
      <c r="K90" s="356"/>
      <c r="L90" s="356"/>
    </row>
    <row r="91" spans="2:12" ht="15.75" thickBot="1" x14ac:dyDescent="0.3">
      <c r="B91" s="376" t="s">
        <v>143</v>
      </c>
      <c r="C91" s="377"/>
      <c r="D91" s="121">
        <v>731</v>
      </c>
      <c r="E91" s="122">
        <f>(K40*D91)/D99</f>
        <v>30043.505904539536</v>
      </c>
      <c r="F91" s="149">
        <f>(N60*D91)/N63</f>
        <v>43589.733411169487</v>
      </c>
      <c r="G91" s="122">
        <f t="shared" si="2"/>
        <v>73633.239315709026</v>
      </c>
      <c r="H91" s="122">
        <v>73600</v>
      </c>
    </row>
    <row r="92" spans="2:12" ht="15.75" thickBot="1" x14ac:dyDescent="0.3">
      <c r="B92" s="348" t="s">
        <v>144</v>
      </c>
      <c r="C92" s="349"/>
      <c r="D92" s="126">
        <v>1117</v>
      </c>
      <c r="E92" s="127">
        <f>(K40*D92)/D99</f>
        <v>45907.792196129492</v>
      </c>
      <c r="F92" s="161">
        <f>(N58*D92)/N62</f>
        <v>48875.523215523215</v>
      </c>
      <c r="G92" s="127">
        <f t="shared" si="2"/>
        <v>94783.3154116527</v>
      </c>
      <c r="H92" s="122">
        <v>95000</v>
      </c>
    </row>
    <row r="93" spans="2:12" ht="15.75" thickBot="1" x14ac:dyDescent="0.3">
      <c r="B93" s="322" t="s">
        <v>145</v>
      </c>
      <c r="C93" s="323"/>
      <c r="D93" s="121">
        <v>2539</v>
      </c>
      <c r="E93" s="122">
        <f>(K40*D93)/D99</f>
        <v>104350.83651385209</v>
      </c>
      <c r="F93" s="123">
        <f>N57</f>
        <v>568260</v>
      </c>
      <c r="G93" s="122">
        <f t="shared" si="2"/>
        <v>672610.83651385212</v>
      </c>
      <c r="H93" s="122">
        <v>672700</v>
      </c>
    </row>
    <row r="94" spans="2:12" ht="15.75" thickBot="1" x14ac:dyDescent="0.3">
      <c r="B94" s="348" t="s">
        <v>146</v>
      </c>
      <c r="C94" s="349"/>
      <c r="D94" s="126">
        <v>522</v>
      </c>
      <c r="E94" s="127">
        <f>(K40*D94)/D99</f>
        <v>21453.775762201967</v>
      </c>
      <c r="F94" s="161">
        <f>(N58*D94)/N62</f>
        <v>22840.665280665282</v>
      </c>
      <c r="G94" s="127">
        <f t="shared" si="2"/>
        <v>44294.441042867249</v>
      </c>
      <c r="H94" s="122">
        <v>44300</v>
      </c>
    </row>
    <row r="95" spans="2:12" ht="15.75" thickBot="1" x14ac:dyDescent="0.3">
      <c r="B95" s="337" t="s">
        <v>147</v>
      </c>
      <c r="C95" s="338"/>
      <c r="D95" s="121">
        <v>996</v>
      </c>
      <c r="E95" s="122">
        <f>(K40*D95)/D99</f>
        <v>40934.79053477617</v>
      </c>
      <c r="F95" s="149">
        <f>(N60*D95)/N63</f>
        <v>59391.757151196733</v>
      </c>
      <c r="G95" s="122">
        <f t="shared" si="2"/>
        <v>100326.54768597291</v>
      </c>
      <c r="H95" s="122">
        <v>100300</v>
      </c>
      <c r="K95" s="95"/>
    </row>
    <row r="96" spans="2:12" s="171" customFormat="1" ht="27.75" customHeight="1" thickBot="1" x14ac:dyDescent="0.3">
      <c r="B96" s="396" t="s">
        <v>148</v>
      </c>
      <c r="C96" s="397"/>
      <c r="D96" s="126"/>
      <c r="E96" s="168">
        <f>SUM(E55:E95)</f>
        <v>1830639.9999999991</v>
      </c>
      <c r="F96" s="169">
        <f>SUM(F55:F95)</f>
        <v>4219220</v>
      </c>
      <c r="G96" s="168">
        <f>SUM(G55:G95)</f>
        <v>6049860.0000000019</v>
      </c>
      <c r="H96" s="170">
        <f>SUM(H55:H95)</f>
        <v>4098700</v>
      </c>
      <c r="J96" s="172"/>
      <c r="K96" s="173"/>
    </row>
    <row r="97" spans="2:13" x14ac:dyDescent="0.25">
      <c r="B97" s="398" t="s">
        <v>116</v>
      </c>
      <c r="C97" s="399"/>
      <c r="D97" s="402">
        <v>10799</v>
      </c>
      <c r="E97" s="404">
        <f>K39</f>
        <v>2745960</v>
      </c>
      <c r="F97" s="174">
        <f>N59</f>
        <v>1378980</v>
      </c>
      <c r="G97" s="406">
        <f>E97+F97+F98</f>
        <v>6434640</v>
      </c>
      <c r="H97" s="383"/>
      <c r="J97" s="175"/>
      <c r="K97" s="175"/>
    </row>
    <row r="98" spans="2:13" ht="15.75" thickBot="1" x14ac:dyDescent="0.3">
      <c r="B98" s="400"/>
      <c r="C98" s="401"/>
      <c r="D98" s="403"/>
      <c r="E98" s="405"/>
      <c r="F98" s="176">
        <f>L54</f>
        <v>2309700</v>
      </c>
      <c r="G98" s="407"/>
      <c r="H98" s="383"/>
      <c r="J98" s="175"/>
      <c r="K98" s="98"/>
      <c r="L98" s="384"/>
      <c r="M98" s="385"/>
    </row>
    <row r="99" spans="2:13" x14ac:dyDescent="0.25">
      <c r="B99" s="386" t="s">
        <v>149</v>
      </c>
      <c r="C99" s="386"/>
      <c r="D99" s="177">
        <f>SUM(D55:D95)</f>
        <v>44542</v>
      </c>
      <c r="E99" s="178" t="s">
        <v>150</v>
      </c>
      <c r="F99" s="178" t="s">
        <v>150</v>
      </c>
      <c r="G99" s="178" t="s">
        <v>150</v>
      </c>
      <c r="H99" s="179"/>
      <c r="J99" s="180"/>
      <c r="K99" s="98"/>
      <c r="L99" s="384"/>
      <c r="M99" s="385"/>
    </row>
    <row r="100" spans="2:13" x14ac:dyDescent="0.25">
      <c r="E100" s="181">
        <f>SUM(E55:E95)+E97</f>
        <v>4576599.9999999991</v>
      </c>
      <c r="F100" s="181">
        <f>SUM(F55:F95)+F97+F98</f>
        <v>7907900</v>
      </c>
      <c r="G100" s="182">
        <f>SUM(G55:G95)+G97</f>
        <v>12484500.000000002</v>
      </c>
    </row>
    <row r="101" spans="2:13" ht="15.75" thickBot="1" x14ac:dyDescent="0.3">
      <c r="K101" s="95"/>
    </row>
    <row r="102" spans="2:13" ht="15.75" thickBot="1" x14ac:dyDescent="0.3">
      <c r="E102" s="183">
        <v>2027</v>
      </c>
      <c r="K102" s="95"/>
    </row>
    <row r="103" spans="2:13" ht="15.75" x14ac:dyDescent="0.25">
      <c r="B103" s="387" t="s">
        <v>151</v>
      </c>
      <c r="C103" s="388"/>
      <c r="D103" s="389"/>
      <c r="E103" s="184">
        <f>H36</f>
        <v>12484500</v>
      </c>
      <c r="F103" s="185"/>
      <c r="G103" s="186"/>
      <c r="H103" s="187"/>
    </row>
    <row r="104" spans="2:13" ht="33" customHeight="1" thickBot="1" x14ac:dyDescent="0.3">
      <c r="B104" s="390"/>
      <c r="C104" s="391"/>
      <c r="D104" s="392"/>
      <c r="E104" s="188" t="s">
        <v>152</v>
      </c>
      <c r="F104" s="185"/>
      <c r="G104" s="186"/>
      <c r="H104" s="187"/>
      <c r="I104" s="186"/>
    </row>
    <row r="105" spans="2:13" ht="16.5" thickBot="1" x14ac:dyDescent="0.3">
      <c r="B105" s="393" t="s">
        <v>153</v>
      </c>
      <c r="C105" s="394"/>
      <c r="D105" s="395"/>
      <c r="E105" s="189">
        <f>H96</f>
        <v>4098700</v>
      </c>
      <c r="F105" s="190" t="s">
        <v>154</v>
      </c>
      <c r="G105" s="191" t="s">
        <v>172</v>
      </c>
      <c r="H105" s="192">
        <f>E105-J105</f>
        <v>-110900</v>
      </c>
      <c r="J105" s="95">
        <v>4209600</v>
      </c>
      <c r="K105" s="95"/>
    </row>
    <row r="106" spans="2:13" ht="16.5" thickBot="1" x14ac:dyDescent="0.3">
      <c r="B106" s="380" t="s">
        <v>156</v>
      </c>
      <c r="C106" s="381"/>
      <c r="D106" s="382"/>
      <c r="E106" s="193">
        <f>S35</f>
        <v>7123200</v>
      </c>
      <c r="F106" s="194" t="s">
        <v>154</v>
      </c>
      <c r="G106" s="176" t="s">
        <v>172</v>
      </c>
      <c r="H106" s="195">
        <f>E106-J106</f>
        <v>-129100</v>
      </c>
      <c r="J106" s="95">
        <v>7252300</v>
      </c>
    </row>
    <row r="107" spans="2:13" ht="16.5" thickBot="1" x14ac:dyDescent="0.3">
      <c r="B107" s="380" t="s">
        <v>157</v>
      </c>
      <c r="C107" s="381"/>
      <c r="D107" s="382"/>
      <c r="E107" s="193">
        <f>P36</f>
        <v>3407800</v>
      </c>
      <c r="F107" s="194" t="s">
        <v>154</v>
      </c>
      <c r="G107" s="176" t="s">
        <v>172</v>
      </c>
      <c r="H107" s="196">
        <f>E107-J107</f>
        <v>153700</v>
      </c>
      <c r="J107" s="95">
        <v>3254100</v>
      </c>
    </row>
    <row r="108" spans="2:13" x14ac:dyDescent="0.25">
      <c r="K108" s="106"/>
    </row>
  </sheetData>
  <mergeCells count="135">
    <mergeCell ref="F33:H33"/>
    <mergeCell ref="B33:E33"/>
    <mergeCell ref="L98:L99"/>
    <mergeCell ref="M98:M99"/>
    <mergeCell ref="B99:C99"/>
    <mergeCell ref="B103:D104"/>
    <mergeCell ref="B105:D105"/>
    <mergeCell ref="B95:C95"/>
    <mergeCell ref="B96:C96"/>
    <mergeCell ref="B97:C98"/>
    <mergeCell ref="D97:D98"/>
    <mergeCell ref="E97:E98"/>
    <mergeCell ref="G97:G98"/>
    <mergeCell ref="B91:C91"/>
    <mergeCell ref="B92:C92"/>
    <mergeCell ref="B93:C93"/>
    <mergeCell ref="B94:C94"/>
    <mergeCell ref="B83:C83"/>
    <mergeCell ref="B84:C84"/>
    <mergeCell ref="J84:J85"/>
    <mergeCell ref="B106:D106"/>
    <mergeCell ref="B107:D107"/>
    <mergeCell ref="H97:H98"/>
    <mergeCell ref="K84:L85"/>
    <mergeCell ref="B85:C85"/>
    <mergeCell ref="B86:C86"/>
    <mergeCell ref="J86:J90"/>
    <mergeCell ref="K86:L90"/>
    <mergeCell ref="B87:C87"/>
    <mergeCell ref="B88:C88"/>
    <mergeCell ref="B76:C76"/>
    <mergeCell ref="K76:L76"/>
    <mergeCell ref="B77:C77"/>
    <mergeCell ref="J77:J83"/>
    <mergeCell ref="K77:L83"/>
    <mergeCell ref="B78:C78"/>
    <mergeCell ref="B79:C79"/>
    <mergeCell ref="B80:C80"/>
    <mergeCell ref="B81:C81"/>
    <mergeCell ref="B82:C82"/>
    <mergeCell ref="B89:C89"/>
    <mergeCell ref="B90:C90"/>
    <mergeCell ref="B72:C72"/>
    <mergeCell ref="B73:C73"/>
    <mergeCell ref="K73:L73"/>
    <mergeCell ref="B74:C74"/>
    <mergeCell ref="K74:L74"/>
    <mergeCell ref="B75:C75"/>
    <mergeCell ref="K75:L75"/>
    <mergeCell ref="B67:C67"/>
    <mergeCell ref="B68:C68"/>
    <mergeCell ref="B69:C69"/>
    <mergeCell ref="B70:C70"/>
    <mergeCell ref="B71:C71"/>
    <mergeCell ref="J71:K71"/>
    <mergeCell ref="B61:C61"/>
    <mergeCell ref="B62:C62"/>
    <mergeCell ref="B63:C63"/>
    <mergeCell ref="B64:C64"/>
    <mergeCell ref="B65:C65"/>
    <mergeCell ref="B66:C66"/>
    <mergeCell ref="B58:C58"/>
    <mergeCell ref="J58:K58"/>
    <mergeCell ref="B59:C59"/>
    <mergeCell ref="J59:K59"/>
    <mergeCell ref="B60:C60"/>
    <mergeCell ref="J60:K60"/>
    <mergeCell ref="B51:L51"/>
    <mergeCell ref="B54:C54"/>
    <mergeCell ref="J54:K54"/>
    <mergeCell ref="B55:C55"/>
    <mergeCell ref="B56:C56"/>
    <mergeCell ref="B57:C57"/>
    <mergeCell ref="J57:K57"/>
    <mergeCell ref="J36:L36"/>
    <mergeCell ref="B44:E44"/>
    <mergeCell ref="B45:E45"/>
    <mergeCell ref="B46:E46"/>
    <mergeCell ref="B48:L49"/>
    <mergeCell ref="B50:M50"/>
    <mergeCell ref="B30:E30"/>
    <mergeCell ref="F30:H30"/>
    <mergeCell ref="B31:E32"/>
    <mergeCell ref="F31:H31"/>
    <mergeCell ref="F32:H32"/>
    <mergeCell ref="B34:I34"/>
    <mergeCell ref="B28:E28"/>
    <mergeCell ref="F28:H28"/>
    <mergeCell ref="B29:E29"/>
    <mergeCell ref="F29:H29"/>
    <mergeCell ref="B24:E25"/>
    <mergeCell ref="F24:H24"/>
    <mergeCell ref="F25:H25"/>
    <mergeCell ref="B26:E26"/>
    <mergeCell ref="F26:H26"/>
    <mergeCell ref="B27:E27"/>
    <mergeCell ref="F27:H27"/>
    <mergeCell ref="B19:E23"/>
    <mergeCell ref="F19:H19"/>
    <mergeCell ref="F20:H20"/>
    <mergeCell ref="F21:H21"/>
    <mergeCell ref="F22:H22"/>
    <mergeCell ref="F23:H23"/>
    <mergeCell ref="B14:E17"/>
    <mergeCell ref="F14:H14"/>
    <mergeCell ref="F15:H15"/>
    <mergeCell ref="F16:H16"/>
    <mergeCell ref="F17:H17"/>
    <mergeCell ref="B18:E18"/>
    <mergeCell ref="F18:H18"/>
    <mergeCell ref="B9:E13"/>
    <mergeCell ref="F9:H9"/>
    <mergeCell ref="F10:H10"/>
    <mergeCell ref="F11:H11"/>
    <mergeCell ref="F12:H12"/>
    <mergeCell ref="F13:H13"/>
    <mergeCell ref="B7:E8"/>
    <mergeCell ref="F7:H7"/>
    <mergeCell ref="F8:H8"/>
    <mergeCell ref="L4:L5"/>
    <mergeCell ref="M4:M5"/>
    <mergeCell ref="N4:N5"/>
    <mergeCell ref="O4:O5"/>
    <mergeCell ref="P4:P5"/>
    <mergeCell ref="Q4:Q5"/>
    <mergeCell ref="B2:J2"/>
    <mergeCell ref="B4:E5"/>
    <mergeCell ref="F4:H5"/>
    <mergeCell ref="I4:I5"/>
    <mergeCell ref="J4:J5"/>
    <mergeCell ref="K4:K5"/>
    <mergeCell ref="R4:R5"/>
    <mergeCell ref="S4:S5"/>
    <mergeCell ref="B6:E6"/>
    <mergeCell ref="F6:H6"/>
  </mergeCells>
  <pageMargins left="0.7" right="0.7" top="0.78740157499999996" bottom="0.78740157499999996" header="0.3" footer="0.3"/>
  <pageSetup paperSize="8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108"/>
  <sheetViews>
    <sheetView zoomScale="80" zoomScaleNormal="80" workbookViewId="0">
      <selection activeCell="L58" sqref="L58"/>
    </sheetView>
  </sheetViews>
  <sheetFormatPr defaultColWidth="9.140625" defaultRowHeight="15" x14ac:dyDescent="0.25"/>
  <cols>
    <col min="1" max="3" width="9.140625" style="2"/>
    <col min="4" max="4" width="16.5703125" style="2" customWidth="1"/>
    <col min="5" max="6" width="17.7109375" style="2" customWidth="1"/>
    <col min="7" max="7" width="20.42578125" style="2" customWidth="1"/>
    <col min="8" max="8" width="30.42578125" style="2" customWidth="1"/>
    <col min="9" max="9" width="9.140625" style="2"/>
    <col min="10" max="10" width="23" style="2" customWidth="1"/>
    <col min="11" max="11" width="18.85546875" style="2" customWidth="1"/>
    <col min="12" max="12" width="18" style="2" customWidth="1"/>
    <col min="13" max="13" width="20.5703125" style="2" customWidth="1"/>
    <col min="14" max="14" width="18.140625" style="2" customWidth="1"/>
    <col min="15" max="15" width="17.28515625" style="2" customWidth="1"/>
    <col min="16" max="16" width="15.5703125" style="2" customWidth="1"/>
    <col min="17" max="17" width="17.85546875" style="2" customWidth="1"/>
    <col min="18" max="18" width="14" style="2" customWidth="1"/>
    <col min="19" max="19" width="20.85546875" style="2" customWidth="1"/>
    <col min="20" max="16384" width="9.140625" style="2"/>
  </cols>
  <sheetData>
    <row r="1" spans="2:30" ht="30" customHeight="1" x14ac:dyDescent="0.25">
      <c r="B1" s="1" t="s">
        <v>158</v>
      </c>
    </row>
    <row r="2" spans="2:30" ht="21" x14ac:dyDescent="0.35">
      <c r="B2" s="220" t="s">
        <v>159</v>
      </c>
      <c r="C2" s="220"/>
      <c r="D2" s="220"/>
      <c r="E2" s="220"/>
      <c r="F2" s="220"/>
      <c r="G2" s="220"/>
      <c r="H2" s="220"/>
      <c r="I2" s="220"/>
      <c r="J2" s="220"/>
      <c r="K2" s="95"/>
      <c r="L2" s="169"/>
    </row>
    <row r="3" spans="2:30" ht="15.75" thickBot="1" x14ac:dyDescent="0.3"/>
    <row r="4" spans="2:30" ht="15" customHeight="1" x14ac:dyDescent="0.25">
      <c r="B4" s="221" t="s">
        <v>0</v>
      </c>
      <c r="C4" s="222"/>
      <c r="D4" s="222"/>
      <c r="E4" s="223"/>
      <c r="F4" s="221" t="s">
        <v>1</v>
      </c>
      <c r="G4" s="222"/>
      <c r="H4" s="223"/>
      <c r="I4" s="230" t="s">
        <v>2</v>
      </c>
      <c r="J4" s="232" t="s">
        <v>3</v>
      </c>
      <c r="K4" s="232" t="s">
        <v>4</v>
      </c>
      <c r="L4" s="232" t="s">
        <v>5</v>
      </c>
      <c r="M4" s="232" t="s">
        <v>6</v>
      </c>
      <c r="N4" s="230" t="s">
        <v>7</v>
      </c>
      <c r="O4" s="232" t="s">
        <v>8</v>
      </c>
      <c r="P4" s="230" t="s">
        <v>9</v>
      </c>
      <c r="Q4" s="232" t="s">
        <v>10</v>
      </c>
      <c r="R4" s="230" t="s">
        <v>11</v>
      </c>
      <c r="S4" s="235" t="s">
        <v>12</v>
      </c>
    </row>
    <row r="5" spans="2:30" ht="29.25" customHeight="1" thickBot="1" x14ac:dyDescent="0.3">
      <c r="B5" s="224"/>
      <c r="C5" s="225"/>
      <c r="D5" s="225"/>
      <c r="E5" s="226"/>
      <c r="F5" s="227"/>
      <c r="G5" s="228"/>
      <c r="H5" s="229"/>
      <c r="I5" s="231"/>
      <c r="J5" s="233"/>
      <c r="K5" s="233"/>
      <c r="L5" s="233"/>
      <c r="M5" s="233"/>
      <c r="N5" s="231"/>
      <c r="O5" s="233"/>
      <c r="P5" s="231"/>
      <c r="Q5" s="233"/>
      <c r="R5" s="234"/>
      <c r="S5" s="236"/>
      <c r="T5" s="197" t="s">
        <v>160</v>
      </c>
      <c r="U5" s="197" t="s">
        <v>161</v>
      </c>
      <c r="V5" s="197" t="s">
        <v>162</v>
      </c>
      <c r="W5" s="197" t="s">
        <v>163</v>
      </c>
      <c r="X5" s="198" t="s">
        <v>150</v>
      </c>
      <c r="Y5" s="197" t="s">
        <v>164</v>
      </c>
      <c r="Z5" s="197" t="s">
        <v>165</v>
      </c>
      <c r="AA5" s="197" t="s">
        <v>166</v>
      </c>
      <c r="AB5" s="197" t="s">
        <v>167</v>
      </c>
      <c r="AC5" s="197" t="s">
        <v>168</v>
      </c>
      <c r="AD5" s="199" t="s">
        <v>169</v>
      </c>
    </row>
    <row r="6" spans="2:30" ht="21.75" customHeight="1" thickBot="1" x14ac:dyDescent="0.3">
      <c r="B6" s="237" t="s">
        <v>13</v>
      </c>
      <c r="C6" s="238"/>
      <c r="D6" s="238"/>
      <c r="E6" s="239"/>
      <c r="F6" s="240" t="s">
        <v>14</v>
      </c>
      <c r="G6" s="241"/>
      <c r="H6" s="241"/>
      <c r="I6" s="88">
        <v>10</v>
      </c>
      <c r="J6" s="3">
        <v>7314553.9800000014</v>
      </c>
      <c r="K6" s="4">
        <v>0.06</v>
      </c>
      <c r="L6" s="3">
        <f>J6*K6</f>
        <v>438873.23880000005</v>
      </c>
      <c r="M6" s="5">
        <v>9.4000000000000004E-3</v>
      </c>
      <c r="N6" s="6">
        <f>L6/K6*M6</f>
        <v>68756.807412000009</v>
      </c>
      <c r="O6" s="4">
        <v>5.0599999999999999E-2</v>
      </c>
      <c r="P6" s="3">
        <f>L6/K6*O6</f>
        <v>370116.43138800008</v>
      </c>
      <c r="Q6" s="7"/>
      <c r="R6" s="8"/>
      <c r="S6" s="200">
        <v>68700</v>
      </c>
      <c r="T6" s="148">
        <v>5</v>
      </c>
      <c r="U6" s="148">
        <v>27</v>
      </c>
      <c r="V6" s="148">
        <v>0</v>
      </c>
      <c r="W6" s="148">
        <v>3</v>
      </c>
      <c r="X6" s="148">
        <f>SUM(T6:W6)</f>
        <v>35</v>
      </c>
      <c r="Y6" s="148">
        <v>35</v>
      </c>
      <c r="Z6" s="148">
        <f>SUM(T6:V6)</f>
        <v>32</v>
      </c>
      <c r="AA6" s="206">
        <f>T6/Z6*6</f>
        <v>0.9375</v>
      </c>
      <c r="AB6" s="207">
        <f>U6/Z6*6</f>
        <v>5.0625</v>
      </c>
      <c r="AC6" s="208"/>
      <c r="AD6" s="148">
        <f>SUM(AA6:AC6)</f>
        <v>6</v>
      </c>
    </row>
    <row r="7" spans="2:30" ht="15.75" thickBot="1" x14ac:dyDescent="0.3">
      <c r="B7" s="242" t="s">
        <v>15</v>
      </c>
      <c r="C7" s="243"/>
      <c r="D7" s="243"/>
      <c r="E7" s="243"/>
      <c r="F7" s="246" t="s">
        <v>16</v>
      </c>
      <c r="G7" s="247"/>
      <c r="H7" s="247"/>
      <c r="I7" s="9">
        <v>3.85</v>
      </c>
      <c r="J7" s="10">
        <v>3181436.1810000008</v>
      </c>
      <c r="K7" s="11">
        <v>0.17</v>
      </c>
      <c r="L7" s="3">
        <f t="shared" ref="L7:L32" si="0">J7*K7</f>
        <v>540844.15077000018</v>
      </c>
      <c r="M7" s="12">
        <v>4.82E-2</v>
      </c>
      <c r="N7" s="13">
        <f t="shared" ref="N7:N28" si="1">L7/K7*M7</f>
        <v>153345.22392420005</v>
      </c>
      <c r="O7" s="11">
        <v>5.1400000000000001E-2</v>
      </c>
      <c r="P7" s="10">
        <f>L7/K7*O7</f>
        <v>163525.81970340005</v>
      </c>
      <c r="Q7" s="11">
        <v>7.0400000000000004E-2</v>
      </c>
      <c r="R7" s="14">
        <f>L7/K7*Q7</f>
        <v>223973.10714240008</v>
      </c>
      <c r="S7" s="201">
        <v>153300</v>
      </c>
      <c r="T7" s="148">
        <v>183</v>
      </c>
      <c r="U7" s="148">
        <v>195</v>
      </c>
      <c r="V7" s="148">
        <v>267</v>
      </c>
      <c r="W7" s="148">
        <v>8</v>
      </c>
      <c r="X7" s="148">
        <f>SUM(T7:W7)</f>
        <v>653</v>
      </c>
      <c r="Y7" s="148">
        <v>653</v>
      </c>
      <c r="Z7" s="148">
        <f t="shared" ref="Z7:Z8" si="2">SUM(T7:V7)</f>
        <v>645</v>
      </c>
      <c r="AA7" s="206">
        <f>T7/Z7*17</f>
        <v>4.8232558139534882</v>
      </c>
      <c r="AB7" s="207">
        <f>U7/Z7*17</f>
        <v>5.1395348837209296</v>
      </c>
      <c r="AC7" s="208">
        <f>V7/Z7*17</f>
        <v>7.0372093023255813</v>
      </c>
      <c r="AD7" s="148">
        <f t="shared" ref="AD7:AD8" si="3">SUM(AA7:AC7)</f>
        <v>17</v>
      </c>
    </row>
    <row r="8" spans="2:30" ht="15.75" thickBot="1" x14ac:dyDescent="0.3">
      <c r="B8" s="244"/>
      <c r="C8" s="245"/>
      <c r="D8" s="245"/>
      <c r="E8" s="245"/>
      <c r="F8" s="248" t="s">
        <v>17</v>
      </c>
      <c r="G8" s="249"/>
      <c r="H8" s="249"/>
      <c r="I8" s="15">
        <v>1.6</v>
      </c>
      <c r="J8" s="16">
        <v>1252145.6640000003</v>
      </c>
      <c r="K8" s="17">
        <v>0.17</v>
      </c>
      <c r="L8" s="3">
        <f t="shared" si="0"/>
        <v>212864.76288000008</v>
      </c>
      <c r="M8" s="18">
        <v>7.6700000000000004E-2</v>
      </c>
      <c r="N8" s="19">
        <f t="shared" si="1"/>
        <v>96039.572428800035</v>
      </c>
      <c r="O8" s="17">
        <v>7.3300000000000004E-2</v>
      </c>
      <c r="P8" s="20">
        <f>L8/K8*O8</f>
        <v>91782.277171200025</v>
      </c>
      <c r="Q8" s="21">
        <v>0.02</v>
      </c>
      <c r="R8" s="22">
        <f>L8/K8*Q8</f>
        <v>25042.913280000008</v>
      </c>
      <c r="S8" s="202">
        <v>96000</v>
      </c>
      <c r="T8" s="148">
        <v>23</v>
      </c>
      <c r="U8" s="148">
        <v>22</v>
      </c>
      <c r="V8" s="148">
        <v>6</v>
      </c>
      <c r="W8" s="148">
        <v>5</v>
      </c>
      <c r="X8" s="148">
        <f>SUM(T8:W8)</f>
        <v>56</v>
      </c>
      <c r="Y8" s="148">
        <v>56</v>
      </c>
      <c r="Z8" s="148">
        <f t="shared" si="2"/>
        <v>51</v>
      </c>
      <c r="AA8" s="206">
        <f>T8/Z8*17</f>
        <v>7.666666666666667</v>
      </c>
      <c r="AB8" s="207">
        <f>U8/Z8*17</f>
        <v>7.3333333333333339</v>
      </c>
      <c r="AC8" s="208">
        <f>V8/Z8*17</f>
        <v>2</v>
      </c>
      <c r="AD8" s="148">
        <f t="shared" si="3"/>
        <v>17</v>
      </c>
    </row>
    <row r="9" spans="2:30" ht="15.75" thickBot="1" x14ac:dyDescent="0.3">
      <c r="B9" s="270" t="s">
        <v>18</v>
      </c>
      <c r="C9" s="271"/>
      <c r="D9" s="271"/>
      <c r="E9" s="272"/>
      <c r="F9" s="279" t="s">
        <v>19</v>
      </c>
      <c r="G9" s="280"/>
      <c r="H9" s="280"/>
      <c r="I9" s="23">
        <v>1.5</v>
      </c>
      <c r="J9" s="24">
        <v>1368391.2165000003</v>
      </c>
      <c r="K9" s="25">
        <v>0.15</v>
      </c>
      <c r="L9" s="3">
        <f t="shared" si="0"/>
        <v>205258.68247500004</v>
      </c>
      <c r="M9" s="26">
        <v>0.15</v>
      </c>
      <c r="N9" s="27">
        <f t="shared" si="1"/>
        <v>205258.68247500004</v>
      </c>
      <c r="O9" s="28"/>
      <c r="P9" s="29"/>
      <c r="Q9" s="30"/>
      <c r="R9" s="31"/>
      <c r="S9" s="32">
        <v>205200</v>
      </c>
      <c r="AA9" s="209"/>
      <c r="AB9" s="210"/>
      <c r="AC9" s="211"/>
    </row>
    <row r="10" spans="2:30" ht="15.75" thickBot="1" x14ac:dyDescent="0.3">
      <c r="B10" s="273"/>
      <c r="C10" s="274"/>
      <c r="D10" s="274"/>
      <c r="E10" s="275"/>
      <c r="F10" s="279" t="s">
        <v>20</v>
      </c>
      <c r="G10" s="280"/>
      <c r="H10" s="280"/>
      <c r="I10" s="23">
        <v>2.1</v>
      </c>
      <c r="J10" s="24">
        <v>1766734.2000000004</v>
      </c>
      <c r="K10" s="25">
        <v>0.28999999999999998</v>
      </c>
      <c r="L10" s="3">
        <f t="shared" si="0"/>
        <v>512352.91800000006</v>
      </c>
      <c r="M10" s="33">
        <v>0.28999999999999998</v>
      </c>
      <c r="N10" s="34">
        <f t="shared" si="1"/>
        <v>512352.91800000006</v>
      </c>
      <c r="O10" s="35"/>
      <c r="P10" s="28"/>
      <c r="Q10" s="36"/>
      <c r="R10" s="37"/>
      <c r="S10" s="32">
        <v>512300</v>
      </c>
      <c r="AA10" s="209"/>
      <c r="AB10" s="210"/>
      <c r="AC10" s="211"/>
    </row>
    <row r="11" spans="2:30" ht="15" customHeight="1" thickBot="1" x14ac:dyDescent="0.3">
      <c r="B11" s="273"/>
      <c r="C11" s="274"/>
      <c r="D11" s="274"/>
      <c r="E11" s="275"/>
      <c r="F11" s="279" t="s">
        <v>21</v>
      </c>
      <c r="G11" s="280"/>
      <c r="H11" s="280"/>
      <c r="I11" s="23">
        <v>6.4</v>
      </c>
      <c r="J11" s="24">
        <v>4229409.2610000009</v>
      </c>
      <c r="K11" s="25">
        <v>0.09</v>
      </c>
      <c r="L11" s="3">
        <f t="shared" si="0"/>
        <v>380646.83349000005</v>
      </c>
      <c r="M11" s="33">
        <v>0.09</v>
      </c>
      <c r="N11" s="34">
        <f t="shared" si="1"/>
        <v>380646.83349000005</v>
      </c>
      <c r="O11" s="35"/>
      <c r="P11" s="38"/>
      <c r="Q11" s="39"/>
      <c r="R11" s="32"/>
      <c r="S11" s="32">
        <v>380600</v>
      </c>
      <c r="AA11" s="209"/>
      <c r="AB11" s="210"/>
      <c r="AC11" s="211"/>
    </row>
    <row r="12" spans="2:30" ht="15.75" thickBot="1" x14ac:dyDescent="0.3">
      <c r="B12" s="273"/>
      <c r="C12" s="274"/>
      <c r="D12" s="274"/>
      <c r="E12" s="275"/>
      <c r="F12" s="279" t="s">
        <v>22</v>
      </c>
      <c r="G12" s="280"/>
      <c r="H12" s="280"/>
      <c r="I12" s="40">
        <v>4.5</v>
      </c>
      <c r="J12" s="24">
        <v>3842830.2527999999</v>
      </c>
      <c r="K12" s="25">
        <v>0.09</v>
      </c>
      <c r="L12" s="3">
        <f>J12*K12</f>
        <v>345854.72275199997</v>
      </c>
      <c r="M12" s="41">
        <v>0.09</v>
      </c>
      <c r="N12" s="42">
        <f t="shared" si="1"/>
        <v>345854.72275199997</v>
      </c>
      <c r="O12" s="28"/>
      <c r="P12" s="24"/>
      <c r="Q12" s="28"/>
      <c r="R12" s="43"/>
      <c r="S12" s="43">
        <v>345850</v>
      </c>
      <c r="AA12" s="209"/>
      <c r="AB12" s="210"/>
      <c r="AC12" s="211"/>
    </row>
    <row r="13" spans="2:30" ht="15.75" thickBot="1" x14ac:dyDescent="0.3">
      <c r="B13" s="276"/>
      <c r="C13" s="277"/>
      <c r="D13" s="277"/>
      <c r="E13" s="278"/>
      <c r="F13" s="279" t="s">
        <v>23</v>
      </c>
      <c r="G13" s="280"/>
      <c r="H13" s="280"/>
      <c r="I13" s="23">
        <v>13.25</v>
      </c>
      <c r="J13" s="24">
        <v>8927036.8110000007</v>
      </c>
      <c r="K13" s="25">
        <v>0.22</v>
      </c>
      <c r="L13" s="3">
        <f t="shared" si="0"/>
        <v>1963948.0984200002</v>
      </c>
      <c r="M13" s="41">
        <v>0.22</v>
      </c>
      <c r="N13" s="44">
        <f t="shared" si="1"/>
        <v>1963948.0984200002</v>
      </c>
      <c r="O13" s="28"/>
      <c r="P13" s="45"/>
      <c r="Q13" s="35"/>
      <c r="R13" s="46"/>
      <c r="S13" s="46">
        <v>1963900</v>
      </c>
      <c r="AA13" s="209"/>
      <c r="AB13" s="210"/>
      <c r="AC13" s="211"/>
    </row>
    <row r="14" spans="2:30" ht="15.75" thickBot="1" x14ac:dyDescent="0.3">
      <c r="B14" s="250" t="s">
        <v>24</v>
      </c>
      <c r="C14" s="251"/>
      <c r="D14" s="251"/>
      <c r="E14" s="251"/>
      <c r="F14" s="256" t="s">
        <v>25</v>
      </c>
      <c r="G14" s="257"/>
      <c r="H14" s="258"/>
      <c r="I14" s="47">
        <v>2.52</v>
      </c>
      <c r="J14" s="48">
        <v>1997486.568</v>
      </c>
      <c r="K14" s="49">
        <v>0.17</v>
      </c>
      <c r="L14" s="3">
        <f t="shared" si="0"/>
        <v>339572.71656000003</v>
      </c>
      <c r="M14" s="50">
        <v>7.7999999999999996E-3</v>
      </c>
      <c r="N14" s="51">
        <f t="shared" si="1"/>
        <v>15580.395230399999</v>
      </c>
      <c r="O14" s="52">
        <v>0.15049999999999999</v>
      </c>
      <c r="P14" s="53">
        <f>L14/K14*O14</f>
        <v>300621.72848399996</v>
      </c>
      <c r="Q14" s="49">
        <v>1.17E-2</v>
      </c>
      <c r="R14" s="54">
        <f>L14/K14*Q14</f>
        <v>23370.5928456</v>
      </c>
      <c r="S14" s="54">
        <v>15500</v>
      </c>
      <c r="T14" s="2">
        <v>4</v>
      </c>
      <c r="U14" s="2">
        <v>77</v>
      </c>
      <c r="V14" s="2">
        <v>6</v>
      </c>
      <c r="W14" s="2">
        <v>60</v>
      </c>
      <c r="X14" s="2">
        <f>SUM(T14:W14)</f>
        <v>147</v>
      </c>
      <c r="Y14" s="2">
        <v>147</v>
      </c>
      <c r="Z14" s="2">
        <f t="shared" ref="Z14:Z16" si="4">SUM(T14:V14)</f>
        <v>87</v>
      </c>
      <c r="AA14" s="209">
        <f>T14/Z14*17</f>
        <v>0.78160919540229878</v>
      </c>
      <c r="AB14" s="210">
        <f>U14/Z14*17</f>
        <v>15.045977011494253</v>
      </c>
      <c r="AC14" s="211">
        <f>V14/Z14*17</f>
        <v>1.1724137931034482</v>
      </c>
      <c r="AD14" s="148">
        <f t="shared" ref="AD14:AD16" si="5">SUM(AA14:AC14)</f>
        <v>17</v>
      </c>
    </row>
    <row r="15" spans="2:30" ht="15.75" thickBot="1" x14ac:dyDescent="0.3">
      <c r="B15" s="252"/>
      <c r="C15" s="253"/>
      <c r="D15" s="253"/>
      <c r="E15" s="253"/>
      <c r="F15" s="259" t="s">
        <v>26</v>
      </c>
      <c r="G15" s="260"/>
      <c r="H15" s="261"/>
      <c r="I15" s="55">
        <v>2.62</v>
      </c>
      <c r="J15" s="56">
        <v>2190992.727</v>
      </c>
      <c r="K15" s="57">
        <v>0.17</v>
      </c>
      <c r="L15" s="3">
        <f t="shared" si="0"/>
        <v>372468.76359000005</v>
      </c>
      <c r="M15" s="58">
        <v>8.8999999999999999E-3</v>
      </c>
      <c r="N15" s="59">
        <f t="shared" si="1"/>
        <v>19499.835270299998</v>
      </c>
      <c r="O15" s="57">
        <v>0.15210000000000001</v>
      </c>
      <c r="P15" s="56">
        <f>L15/K15*O15</f>
        <v>333249.99377669999</v>
      </c>
      <c r="Q15" s="57">
        <v>8.8999999999999999E-3</v>
      </c>
      <c r="R15" s="60">
        <f>L15/K15*Q15</f>
        <v>19499.835270299998</v>
      </c>
      <c r="S15" s="60">
        <v>19400</v>
      </c>
      <c r="T15" s="2">
        <v>3</v>
      </c>
      <c r="U15" s="2">
        <v>51</v>
      </c>
      <c r="V15" s="2">
        <v>3</v>
      </c>
      <c r="W15" s="2">
        <v>34</v>
      </c>
      <c r="X15" s="2">
        <f>SUM(T15:W15)</f>
        <v>91</v>
      </c>
      <c r="Y15" s="2">
        <v>91</v>
      </c>
      <c r="Z15" s="2">
        <f t="shared" si="4"/>
        <v>57</v>
      </c>
      <c r="AA15" s="209">
        <f t="shared" ref="AA15:AA19" si="6">T15/Z15*17</f>
        <v>0.89473684210526305</v>
      </c>
      <c r="AB15" s="210">
        <f t="shared" ref="AB15:AB19" si="7">U15/Z15*17</f>
        <v>15.210526315789474</v>
      </c>
      <c r="AC15" s="211">
        <f t="shared" ref="AC15:AC19" si="8">V15/Z15*17</f>
        <v>0.89473684210526305</v>
      </c>
      <c r="AD15" s="148">
        <f t="shared" si="5"/>
        <v>17</v>
      </c>
    </row>
    <row r="16" spans="2:30" ht="15.75" thickBot="1" x14ac:dyDescent="0.3">
      <c r="B16" s="252"/>
      <c r="C16" s="253"/>
      <c r="D16" s="253"/>
      <c r="E16" s="253"/>
      <c r="F16" s="262" t="s">
        <v>27</v>
      </c>
      <c r="G16" s="263"/>
      <c r="H16" s="263"/>
      <c r="I16" s="55">
        <v>5.5</v>
      </c>
      <c r="J16" s="56">
        <v>3184860.5250000008</v>
      </c>
      <c r="K16" s="57">
        <v>0.19</v>
      </c>
      <c r="L16" s="3">
        <f t="shared" si="0"/>
        <v>605123.49975000019</v>
      </c>
      <c r="M16" s="58">
        <v>0.12540000000000001</v>
      </c>
      <c r="N16" s="59">
        <f t="shared" si="1"/>
        <v>399381.50983500015</v>
      </c>
      <c r="O16" s="57">
        <v>4.4600000000000001E-2</v>
      </c>
      <c r="P16" s="56">
        <f>L16/K16*O16</f>
        <v>142044.77941500003</v>
      </c>
      <c r="Q16" s="61"/>
      <c r="R16" s="60"/>
      <c r="S16" s="60">
        <v>399300</v>
      </c>
      <c r="T16" s="2">
        <v>45</v>
      </c>
      <c r="U16" s="2">
        <v>16</v>
      </c>
      <c r="V16" s="2">
        <v>0</v>
      </c>
      <c r="W16" s="2">
        <v>0</v>
      </c>
      <c r="X16" s="2">
        <f>SUM(T16:W16)</f>
        <v>61</v>
      </c>
      <c r="Y16" s="2">
        <v>61</v>
      </c>
      <c r="Z16" s="2">
        <f t="shared" si="4"/>
        <v>61</v>
      </c>
      <c r="AA16" s="209">
        <f t="shared" si="6"/>
        <v>12.540983606557377</v>
      </c>
      <c r="AB16" s="210">
        <f t="shared" si="7"/>
        <v>4.4590163934426235</v>
      </c>
      <c r="AC16" s="211">
        <f t="shared" si="8"/>
        <v>0</v>
      </c>
      <c r="AD16" s="148">
        <f t="shared" si="5"/>
        <v>17</v>
      </c>
    </row>
    <row r="17" spans="2:30" ht="15.75" thickBot="1" x14ac:dyDescent="0.3">
      <c r="B17" s="254"/>
      <c r="C17" s="255"/>
      <c r="D17" s="255"/>
      <c r="E17" s="255"/>
      <c r="F17" s="264" t="s">
        <v>28</v>
      </c>
      <c r="G17" s="265"/>
      <c r="H17" s="265"/>
      <c r="I17" s="15">
        <v>7.9</v>
      </c>
      <c r="J17" s="16">
        <v>4985112.2858108105</v>
      </c>
      <c r="K17" s="17">
        <v>0.19</v>
      </c>
      <c r="L17" s="3">
        <f t="shared" si="0"/>
        <v>947171.33430405403</v>
      </c>
      <c r="M17" s="18">
        <v>0.19</v>
      </c>
      <c r="N17" s="19">
        <f t="shared" si="1"/>
        <v>947171.33430405403</v>
      </c>
      <c r="O17" s="62"/>
      <c r="P17" s="10"/>
      <c r="Q17" s="62"/>
      <c r="R17" s="22"/>
      <c r="S17" s="22">
        <v>947100</v>
      </c>
      <c r="AA17" s="209"/>
      <c r="AB17" s="210"/>
      <c r="AC17" s="211"/>
    </row>
    <row r="18" spans="2:30" ht="15.75" thickBot="1" x14ac:dyDescent="0.3">
      <c r="B18" s="266" t="s">
        <v>29</v>
      </c>
      <c r="C18" s="267"/>
      <c r="D18" s="267"/>
      <c r="E18" s="267"/>
      <c r="F18" s="268" t="s">
        <v>30</v>
      </c>
      <c r="G18" s="269"/>
      <c r="H18" s="269"/>
      <c r="I18" s="63">
        <v>6.6</v>
      </c>
      <c r="J18" s="3">
        <v>3437058.24</v>
      </c>
      <c r="K18" s="4">
        <v>0</v>
      </c>
      <c r="L18" s="3">
        <f t="shared" si="0"/>
        <v>0</v>
      </c>
      <c r="M18" s="64">
        <v>0</v>
      </c>
      <c r="N18" s="6">
        <f>L18/76*10</f>
        <v>0</v>
      </c>
      <c r="O18" s="65"/>
      <c r="P18" s="66"/>
      <c r="Q18" s="65"/>
      <c r="R18" s="67"/>
      <c r="S18" s="67">
        <v>0</v>
      </c>
      <c r="AA18" s="209"/>
      <c r="AB18" s="210"/>
      <c r="AC18" s="211"/>
    </row>
    <row r="19" spans="2:30" ht="15.75" thickBot="1" x14ac:dyDescent="0.3">
      <c r="B19" s="250" t="s">
        <v>31</v>
      </c>
      <c r="C19" s="251"/>
      <c r="D19" s="251"/>
      <c r="E19" s="251"/>
      <c r="F19" s="299" t="s">
        <v>32</v>
      </c>
      <c r="G19" s="300"/>
      <c r="H19" s="300"/>
      <c r="I19" s="47">
        <v>4.2</v>
      </c>
      <c r="J19" s="48">
        <v>3329144.2800000003</v>
      </c>
      <c r="K19" s="49">
        <v>0.17</v>
      </c>
      <c r="L19" s="3">
        <f t="shared" si="0"/>
        <v>565954.52760000003</v>
      </c>
      <c r="M19" s="68">
        <v>0.1179</v>
      </c>
      <c r="N19" s="19">
        <f t="shared" si="1"/>
        <v>392506.11061199999</v>
      </c>
      <c r="O19" s="69"/>
      <c r="P19" s="53"/>
      <c r="Q19" s="52">
        <v>5.21E-2</v>
      </c>
      <c r="R19" s="54">
        <f>L19/K19*Q19</f>
        <v>173448.41698799998</v>
      </c>
      <c r="S19" s="54">
        <v>392500</v>
      </c>
      <c r="T19" s="2">
        <v>231</v>
      </c>
      <c r="U19" s="2">
        <v>0</v>
      </c>
      <c r="V19" s="2">
        <v>102</v>
      </c>
      <c r="W19" s="2">
        <v>0</v>
      </c>
      <c r="X19" s="2">
        <f>SUM(T19:W19)</f>
        <v>333</v>
      </c>
      <c r="Z19" s="2">
        <f t="shared" ref="Z19" si="9">SUM(T19:V19)</f>
        <v>333</v>
      </c>
      <c r="AA19" s="209">
        <f t="shared" si="6"/>
        <v>11.792792792792794</v>
      </c>
      <c r="AB19" s="210">
        <f t="shared" si="7"/>
        <v>0</v>
      </c>
      <c r="AC19" s="211">
        <f t="shared" si="8"/>
        <v>5.2072072072072064</v>
      </c>
      <c r="AD19" s="148">
        <f t="shared" ref="AD19" si="10">SUM(AA19:AC19)</f>
        <v>17</v>
      </c>
    </row>
    <row r="20" spans="2:30" ht="15.75" thickBot="1" x14ac:dyDescent="0.3">
      <c r="B20" s="252"/>
      <c r="C20" s="253"/>
      <c r="D20" s="253"/>
      <c r="E20" s="253"/>
      <c r="F20" s="262" t="s">
        <v>33</v>
      </c>
      <c r="G20" s="263"/>
      <c r="H20" s="263"/>
      <c r="I20" s="55">
        <v>1</v>
      </c>
      <c r="J20" s="10">
        <v>1092427.8750000002</v>
      </c>
      <c r="K20" s="57">
        <v>0.17</v>
      </c>
      <c r="L20" s="3">
        <f t="shared" si="0"/>
        <v>185712.73875000005</v>
      </c>
      <c r="M20" s="58">
        <v>0.17</v>
      </c>
      <c r="N20" s="59">
        <f t="shared" si="1"/>
        <v>185712.73875000005</v>
      </c>
      <c r="O20" s="61"/>
      <c r="P20" s="56"/>
      <c r="Q20" s="61"/>
      <c r="R20" s="60"/>
      <c r="S20" s="60">
        <v>185700</v>
      </c>
      <c r="AA20" s="209"/>
      <c r="AB20" s="210"/>
      <c r="AC20" s="211"/>
    </row>
    <row r="21" spans="2:30" ht="15.75" thickBot="1" x14ac:dyDescent="0.3">
      <c r="B21" s="252"/>
      <c r="C21" s="253"/>
      <c r="D21" s="253"/>
      <c r="E21" s="253"/>
      <c r="F21" s="262" t="s">
        <v>34</v>
      </c>
      <c r="G21" s="263"/>
      <c r="H21" s="263"/>
      <c r="I21" s="55">
        <v>3</v>
      </c>
      <c r="J21" s="56">
        <v>2377960.2000000002</v>
      </c>
      <c r="K21" s="57">
        <v>0.26</v>
      </c>
      <c r="L21" s="3">
        <f t="shared" si="0"/>
        <v>618269.65200000012</v>
      </c>
      <c r="M21" s="58">
        <v>0.26</v>
      </c>
      <c r="N21" s="59">
        <f t="shared" si="1"/>
        <v>618269.65200000012</v>
      </c>
      <c r="O21" s="61"/>
      <c r="P21" s="20"/>
      <c r="Q21" s="70"/>
      <c r="R21" s="71"/>
      <c r="S21" s="71">
        <v>618200</v>
      </c>
      <c r="AA21" s="209"/>
      <c r="AB21" s="210"/>
      <c r="AC21" s="211"/>
    </row>
    <row r="22" spans="2:30" ht="15.75" thickBot="1" x14ac:dyDescent="0.3">
      <c r="B22" s="252"/>
      <c r="C22" s="253"/>
      <c r="D22" s="253"/>
      <c r="E22" s="253"/>
      <c r="F22" s="262" t="s">
        <v>35</v>
      </c>
      <c r="G22" s="263"/>
      <c r="H22" s="263"/>
      <c r="I22" s="55">
        <v>17.600000000000001</v>
      </c>
      <c r="J22" s="56">
        <v>12096508.924500002</v>
      </c>
      <c r="K22" s="57">
        <v>0.2</v>
      </c>
      <c r="L22" s="3">
        <f t="shared" si="0"/>
        <v>2419301.7849000003</v>
      </c>
      <c r="M22" s="58">
        <v>0.19</v>
      </c>
      <c r="N22" s="19">
        <f t="shared" si="1"/>
        <v>2298336.6956550004</v>
      </c>
      <c r="O22" s="61"/>
      <c r="P22" s="56"/>
      <c r="Q22" s="61"/>
      <c r="R22" s="60"/>
      <c r="S22" s="60">
        <v>2298300</v>
      </c>
      <c r="AA22" s="209"/>
      <c r="AB22" s="210"/>
      <c r="AC22" s="211"/>
    </row>
    <row r="23" spans="2:30" ht="15.75" thickBot="1" x14ac:dyDescent="0.3">
      <c r="B23" s="254"/>
      <c r="C23" s="255"/>
      <c r="D23" s="255"/>
      <c r="E23" s="255"/>
      <c r="F23" s="264" t="s">
        <v>36</v>
      </c>
      <c r="G23" s="265"/>
      <c r="H23" s="265"/>
      <c r="I23" s="15">
        <v>3</v>
      </c>
      <c r="J23" s="16">
        <v>1907649.1665000001</v>
      </c>
      <c r="K23" s="17">
        <v>0.2</v>
      </c>
      <c r="L23" s="3">
        <f t="shared" si="0"/>
        <v>381529.83330000006</v>
      </c>
      <c r="M23" s="18">
        <v>0.19</v>
      </c>
      <c r="N23" s="72">
        <f t="shared" si="1"/>
        <v>362453.34163500008</v>
      </c>
      <c r="O23" s="73"/>
      <c r="P23" s="20"/>
      <c r="Q23" s="70"/>
      <c r="R23" s="71"/>
      <c r="S23" s="71">
        <v>362400</v>
      </c>
      <c r="AA23" s="209"/>
      <c r="AB23" s="210"/>
      <c r="AC23" s="211"/>
    </row>
    <row r="24" spans="2:30" ht="15.75" thickBot="1" x14ac:dyDescent="0.3">
      <c r="B24" s="281" t="s">
        <v>37</v>
      </c>
      <c r="C24" s="282"/>
      <c r="D24" s="282"/>
      <c r="E24" s="283"/>
      <c r="F24" s="287" t="s">
        <v>33</v>
      </c>
      <c r="G24" s="288"/>
      <c r="H24" s="289"/>
      <c r="I24" s="74">
        <v>1.3</v>
      </c>
      <c r="J24" s="45">
        <v>1172160.99</v>
      </c>
      <c r="K24" s="75">
        <v>0.17</v>
      </c>
      <c r="L24" s="3">
        <f t="shared" si="0"/>
        <v>199267.3683</v>
      </c>
      <c r="M24" s="33">
        <v>0.17</v>
      </c>
      <c r="N24" s="27">
        <f t="shared" si="1"/>
        <v>199267.3683</v>
      </c>
      <c r="O24" s="29"/>
      <c r="P24" s="66"/>
      <c r="Q24" s="29"/>
      <c r="R24" s="76"/>
      <c r="S24" s="76">
        <v>199200</v>
      </c>
      <c r="AA24" s="209"/>
      <c r="AB24" s="210"/>
      <c r="AC24" s="211"/>
    </row>
    <row r="25" spans="2:30" ht="15.75" thickBot="1" x14ac:dyDescent="0.3">
      <c r="B25" s="284"/>
      <c r="C25" s="285"/>
      <c r="D25" s="285"/>
      <c r="E25" s="286"/>
      <c r="F25" s="290" t="s">
        <v>20</v>
      </c>
      <c r="G25" s="291"/>
      <c r="H25" s="292"/>
      <c r="I25" s="77">
        <v>3.48</v>
      </c>
      <c r="J25" s="38">
        <v>2823224.25</v>
      </c>
      <c r="K25" s="78">
        <v>0.26</v>
      </c>
      <c r="L25" s="3">
        <f t="shared" si="0"/>
        <v>734038.30500000005</v>
      </c>
      <c r="M25" s="79">
        <v>0.26</v>
      </c>
      <c r="N25" s="42">
        <f t="shared" si="1"/>
        <v>734038.30500000005</v>
      </c>
      <c r="O25" s="80"/>
      <c r="P25" s="45"/>
      <c r="Q25" s="80"/>
      <c r="R25" s="46"/>
      <c r="S25" s="46">
        <v>734000</v>
      </c>
      <c r="AA25" s="209"/>
      <c r="AB25" s="210"/>
      <c r="AC25" s="211"/>
    </row>
    <row r="26" spans="2:30" ht="15.75" thickBot="1" x14ac:dyDescent="0.3">
      <c r="B26" s="293" t="s">
        <v>38</v>
      </c>
      <c r="C26" s="294"/>
      <c r="D26" s="294"/>
      <c r="E26" s="294"/>
      <c r="F26" s="295" t="s">
        <v>39</v>
      </c>
      <c r="G26" s="296"/>
      <c r="H26" s="296"/>
      <c r="I26" s="81">
        <v>5</v>
      </c>
      <c r="J26" s="82">
        <v>3611084.4000000008</v>
      </c>
      <c r="K26" s="83">
        <v>0.22</v>
      </c>
      <c r="L26" s="3">
        <f t="shared" si="0"/>
        <v>794438.5680000002</v>
      </c>
      <c r="M26" s="84">
        <v>0.22</v>
      </c>
      <c r="N26" s="85">
        <f t="shared" si="1"/>
        <v>794438.5680000002</v>
      </c>
      <c r="O26" s="86"/>
      <c r="P26" s="48"/>
      <c r="Q26" s="86"/>
      <c r="R26" s="87"/>
      <c r="S26" s="87">
        <v>794400</v>
      </c>
      <c r="AA26" s="209"/>
      <c r="AB26" s="210"/>
      <c r="AC26" s="211"/>
    </row>
    <row r="27" spans="2:30" ht="15.75" thickBot="1" x14ac:dyDescent="0.3">
      <c r="B27" s="297" t="s">
        <v>40</v>
      </c>
      <c r="C27" s="298"/>
      <c r="D27" s="298"/>
      <c r="E27" s="298"/>
      <c r="F27" s="268" t="s">
        <v>41</v>
      </c>
      <c r="G27" s="269"/>
      <c r="H27" s="269"/>
      <c r="I27" s="88">
        <v>4.75</v>
      </c>
      <c r="J27" s="3">
        <v>3621715.6500000004</v>
      </c>
      <c r="K27" s="4">
        <v>0.22</v>
      </c>
      <c r="L27" s="3">
        <f t="shared" si="0"/>
        <v>796777.44300000009</v>
      </c>
      <c r="M27" s="5">
        <v>0.22</v>
      </c>
      <c r="N27" s="6">
        <f t="shared" si="1"/>
        <v>796777.44300000009</v>
      </c>
      <c r="O27" s="7"/>
      <c r="P27" s="66"/>
      <c r="Q27" s="7"/>
      <c r="R27" s="67"/>
      <c r="S27" s="67">
        <v>796700</v>
      </c>
      <c r="AA27" s="209"/>
      <c r="AB27" s="210"/>
      <c r="AC27" s="211"/>
    </row>
    <row r="28" spans="2:30" ht="15.75" thickBot="1" x14ac:dyDescent="0.3">
      <c r="B28" s="301" t="s">
        <v>43</v>
      </c>
      <c r="C28" s="302"/>
      <c r="D28" s="302"/>
      <c r="E28" s="308"/>
      <c r="F28" s="309" t="s">
        <v>44</v>
      </c>
      <c r="G28" s="310"/>
      <c r="H28" s="311"/>
      <c r="I28" s="81">
        <v>5</v>
      </c>
      <c r="J28" s="82">
        <v>3953400</v>
      </c>
      <c r="K28" s="83">
        <v>0.06</v>
      </c>
      <c r="L28" s="3">
        <f t="shared" si="0"/>
        <v>237204</v>
      </c>
      <c r="M28" s="64">
        <v>0.06</v>
      </c>
      <c r="N28" s="6">
        <f t="shared" si="1"/>
        <v>237204</v>
      </c>
      <c r="O28" s="65"/>
      <c r="P28" s="3"/>
      <c r="Q28" s="65"/>
      <c r="R28" s="8"/>
      <c r="S28" s="8">
        <v>237200</v>
      </c>
      <c r="AA28" s="209"/>
      <c r="AB28" s="210"/>
      <c r="AC28" s="211"/>
    </row>
    <row r="29" spans="2:30" ht="15.75" thickBot="1" x14ac:dyDescent="0.3">
      <c r="B29" s="312" t="s">
        <v>45</v>
      </c>
      <c r="C29" s="313"/>
      <c r="D29" s="313"/>
      <c r="E29" s="314"/>
      <c r="F29" s="315" t="s">
        <v>30</v>
      </c>
      <c r="G29" s="316"/>
      <c r="H29" s="317"/>
      <c r="I29" s="81">
        <v>7.7</v>
      </c>
      <c r="J29" s="82">
        <v>5096636.16</v>
      </c>
      <c r="K29" s="83">
        <v>0</v>
      </c>
      <c r="L29" s="3">
        <f t="shared" si="0"/>
        <v>0</v>
      </c>
      <c r="M29" s="89">
        <v>0</v>
      </c>
      <c r="N29" s="85">
        <f>L29/136*6</f>
        <v>0</v>
      </c>
      <c r="O29" s="90"/>
      <c r="P29" s="82"/>
      <c r="Q29" s="90"/>
      <c r="R29" s="91"/>
      <c r="S29" s="91">
        <v>0</v>
      </c>
      <c r="AA29" s="209"/>
      <c r="AB29" s="210"/>
      <c r="AC29" s="211"/>
    </row>
    <row r="30" spans="2:30" ht="15.75" thickBot="1" x14ac:dyDescent="0.3">
      <c r="B30" s="301" t="s">
        <v>46</v>
      </c>
      <c r="C30" s="302"/>
      <c r="D30" s="302"/>
      <c r="E30" s="302"/>
      <c r="F30" s="268" t="s">
        <v>47</v>
      </c>
      <c r="G30" s="269"/>
      <c r="H30" s="269"/>
      <c r="I30" s="88">
        <v>8.42</v>
      </c>
      <c r="J30" s="3">
        <v>4201633.1280000005</v>
      </c>
      <c r="K30" s="4">
        <v>0</v>
      </c>
      <c r="L30" s="3">
        <f t="shared" si="0"/>
        <v>0</v>
      </c>
      <c r="M30" s="64">
        <v>0</v>
      </c>
      <c r="N30" s="92">
        <f>L30/118*11</f>
        <v>0</v>
      </c>
      <c r="O30" s="65"/>
      <c r="P30" s="3"/>
      <c r="Q30" s="65"/>
      <c r="R30" s="67"/>
      <c r="S30" s="67">
        <v>0</v>
      </c>
      <c r="AA30" s="209"/>
      <c r="AB30" s="210"/>
      <c r="AC30" s="211"/>
    </row>
    <row r="31" spans="2:30" ht="15.75" thickBot="1" x14ac:dyDescent="0.3">
      <c r="B31" s="250" t="s">
        <v>48</v>
      </c>
      <c r="C31" s="251"/>
      <c r="D31" s="251"/>
      <c r="E31" s="303"/>
      <c r="F31" s="295" t="s">
        <v>49</v>
      </c>
      <c r="G31" s="296"/>
      <c r="H31" s="296"/>
      <c r="I31" s="81">
        <v>2.5499999999999998</v>
      </c>
      <c r="J31" s="82">
        <v>2375049.6</v>
      </c>
      <c r="K31" s="83">
        <v>0.15</v>
      </c>
      <c r="L31" s="3">
        <f t="shared" si="0"/>
        <v>356257.44</v>
      </c>
      <c r="M31" s="84">
        <v>2.52E-2</v>
      </c>
      <c r="N31" s="85">
        <f>L31/K31*M31</f>
        <v>59851.249920000002</v>
      </c>
      <c r="O31" s="83"/>
      <c r="P31" s="82"/>
      <c r="Q31" s="83">
        <v>0.14480000000000001</v>
      </c>
      <c r="R31" s="91">
        <f>L31/K31*Q31</f>
        <v>343907.18208000006</v>
      </c>
      <c r="S31" s="91">
        <v>59800</v>
      </c>
      <c r="T31" s="2">
        <v>4</v>
      </c>
      <c r="U31" s="2">
        <v>1</v>
      </c>
      <c r="V31" s="2">
        <v>23</v>
      </c>
      <c r="W31" s="2">
        <v>0</v>
      </c>
      <c r="X31" s="2">
        <f>SUM(T31:W31)</f>
        <v>28</v>
      </c>
      <c r="Z31" s="2">
        <v>27</v>
      </c>
      <c r="AA31" s="209">
        <f>T31/Z31*17</f>
        <v>2.5185185185185182</v>
      </c>
      <c r="AB31" s="210"/>
      <c r="AC31" s="211">
        <f>V31/Z31*17</f>
        <v>14.481481481481481</v>
      </c>
      <c r="AD31" s="148">
        <f t="shared" ref="AD31" si="11">SUM(AA31:AC31)</f>
        <v>17</v>
      </c>
    </row>
    <row r="32" spans="2:30" ht="15.75" thickBot="1" x14ac:dyDescent="0.3">
      <c r="B32" s="254"/>
      <c r="C32" s="255"/>
      <c r="D32" s="255"/>
      <c r="E32" s="304"/>
      <c r="F32" s="295" t="s">
        <v>50</v>
      </c>
      <c r="G32" s="296"/>
      <c r="H32" s="296"/>
      <c r="I32" s="81">
        <v>4</v>
      </c>
      <c r="J32" s="82">
        <v>4112160</v>
      </c>
      <c r="K32" s="83">
        <v>0.17</v>
      </c>
      <c r="L32" s="3">
        <f t="shared" si="0"/>
        <v>699067.20000000007</v>
      </c>
      <c r="M32" s="84">
        <v>0.17</v>
      </c>
      <c r="N32" s="85">
        <f>L32/K32*M32</f>
        <v>699067.20000000007</v>
      </c>
      <c r="O32" s="83"/>
      <c r="P32" s="82"/>
      <c r="Q32" s="83"/>
      <c r="R32" s="91"/>
      <c r="S32" s="91">
        <v>699000</v>
      </c>
      <c r="T32" s="212"/>
      <c r="U32" s="212"/>
      <c r="V32" s="212"/>
      <c r="W32" s="212"/>
      <c r="X32" s="212"/>
      <c r="Y32" s="212"/>
      <c r="Z32" s="212"/>
      <c r="AA32" s="213"/>
      <c r="AB32" s="214"/>
      <c r="AC32" s="215"/>
      <c r="AD32" s="148"/>
    </row>
    <row r="33" spans="2:30" ht="15.75" thickBot="1" x14ac:dyDescent="0.3">
      <c r="B33" s="306" t="s">
        <v>171</v>
      </c>
      <c r="C33" s="307"/>
      <c r="D33" s="307"/>
      <c r="E33" s="408"/>
      <c r="F33" s="256" t="s">
        <v>21</v>
      </c>
      <c r="G33" s="257"/>
      <c r="H33" s="258"/>
      <c r="I33" s="409" t="s">
        <v>42</v>
      </c>
      <c r="J33" s="48">
        <v>0</v>
      </c>
      <c r="K33" s="49">
        <v>0.06</v>
      </c>
      <c r="L33" s="3">
        <f>J33*K33</f>
        <v>0</v>
      </c>
      <c r="M33" s="58"/>
      <c r="N33" s="13">
        <f>L33/K33*M33</f>
        <v>0</v>
      </c>
      <c r="O33" s="49"/>
      <c r="P33" s="53"/>
      <c r="Q33" s="52"/>
      <c r="R33" s="54"/>
      <c r="S33" s="54">
        <v>0</v>
      </c>
      <c r="T33" s="212"/>
      <c r="U33" s="212"/>
      <c r="V33" s="212"/>
      <c r="W33" s="212"/>
      <c r="X33" s="212"/>
      <c r="Y33" s="212"/>
      <c r="Z33" s="212"/>
      <c r="AA33" s="213"/>
      <c r="AB33" s="214"/>
      <c r="AC33" s="215"/>
      <c r="AD33" s="186"/>
    </row>
    <row r="34" spans="2:30" ht="18.75" x14ac:dyDescent="0.25">
      <c r="B34" s="305" t="s">
        <v>170</v>
      </c>
      <c r="C34" s="305"/>
      <c r="D34" s="305"/>
      <c r="E34" s="305"/>
      <c r="F34" s="305"/>
      <c r="G34" s="305"/>
      <c r="H34" s="305"/>
      <c r="I34" s="305"/>
      <c r="J34" s="93">
        <f>SUM(J6:J31)</f>
        <v>95336642.536110833</v>
      </c>
      <c r="K34" s="94"/>
      <c r="L34" s="93">
        <f>SUM(L6:L31)</f>
        <v>14153731.382641055</v>
      </c>
      <c r="M34" s="95"/>
      <c r="N34" s="96">
        <f>SUM(N6:N32)</f>
        <v>12485758.606413754</v>
      </c>
      <c r="S34" s="95">
        <f>SUM(S6:S32)</f>
        <v>12484550</v>
      </c>
      <c r="AA34" s="203"/>
      <c r="AB34" s="205"/>
      <c r="AC34" s="204"/>
    </row>
    <row r="35" spans="2:30" ht="15.75" thickBot="1" x14ac:dyDescent="0.3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P35" s="97" t="s">
        <v>51</v>
      </c>
      <c r="Q35" s="95">
        <f>S13+S12+S11+S10+S9</f>
        <v>3407850</v>
      </c>
      <c r="R35" s="97" t="s">
        <v>52</v>
      </c>
      <c r="S35" s="98">
        <f>12459900-(S27+S26+S23+S13+S12+S11+S10+S9)</f>
        <v>7098550</v>
      </c>
    </row>
    <row r="36" spans="2:30" ht="16.5" thickBot="1" x14ac:dyDescent="0.3">
      <c r="B36" s="99" t="s">
        <v>53</v>
      </c>
      <c r="C36" s="99"/>
      <c r="D36" s="99"/>
      <c r="E36" s="99"/>
      <c r="F36" s="99"/>
      <c r="G36" s="99"/>
      <c r="H36" s="100">
        <f>SUM(S6:S32)</f>
        <v>12484550</v>
      </c>
      <c r="I36" s="94"/>
      <c r="J36" s="330" t="s">
        <v>54</v>
      </c>
      <c r="K36" s="331"/>
      <c r="L36" s="331"/>
      <c r="M36" s="101">
        <f>H36-N11-N12-N13-N9-N10</f>
        <v>9076488.7448630016</v>
      </c>
      <c r="N36" s="95"/>
      <c r="O36" s="95"/>
    </row>
    <row r="37" spans="2:30" ht="15.75" x14ac:dyDescent="0.25">
      <c r="B37" s="99"/>
      <c r="C37" s="99"/>
      <c r="D37" s="99"/>
      <c r="E37" s="99"/>
      <c r="F37" s="99"/>
      <c r="G37" s="99"/>
      <c r="H37" s="102"/>
      <c r="I37" s="94"/>
      <c r="J37" s="94"/>
      <c r="K37" s="94"/>
      <c r="L37" s="94"/>
      <c r="M37" s="95"/>
    </row>
    <row r="38" spans="2:30" x14ac:dyDescent="0.25">
      <c r="B38" s="94" t="s">
        <v>55</v>
      </c>
      <c r="C38" s="94"/>
      <c r="D38" s="94"/>
      <c r="E38" s="94"/>
      <c r="F38" s="94"/>
      <c r="G38" s="94"/>
      <c r="H38" s="103"/>
      <c r="I38" s="94"/>
      <c r="J38" s="94"/>
      <c r="K38" s="94"/>
      <c r="L38" s="94"/>
      <c r="M38" s="95"/>
      <c r="Q38" s="95"/>
    </row>
    <row r="39" spans="2:30" ht="15.75" x14ac:dyDescent="0.25">
      <c r="B39" s="99" t="s">
        <v>56</v>
      </c>
      <c r="C39" s="99"/>
      <c r="D39" s="99"/>
      <c r="E39" s="99"/>
      <c r="F39" s="99"/>
      <c r="G39" s="99"/>
      <c r="H39" s="104">
        <f>S6+S7+S8+S9+S10+S11+S14+S15+S18+S19+S20+S21+S24+S25+S33+S29+S30+S31+S28+S32</f>
        <v>4576600</v>
      </c>
      <c r="I39" s="94" t="s">
        <v>57</v>
      </c>
      <c r="J39" s="94" t="s">
        <v>58</v>
      </c>
      <c r="K39" s="105">
        <f>(H39/5)*3</f>
        <v>2745960</v>
      </c>
      <c r="L39" s="106"/>
    </row>
    <row r="40" spans="2:30" ht="15.75" x14ac:dyDescent="0.25">
      <c r="B40" s="99"/>
      <c r="C40" s="99"/>
      <c r="D40" s="99"/>
      <c r="E40" s="99"/>
      <c r="F40" s="99"/>
      <c r="G40" s="99"/>
      <c r="H40" s="107"/>
      <c r="I40" s="94"/>
      <c r="J40" s="94" t="s">
        <v>59</v>
      </c>
      <c r="K40" s="105">
        <f>(H39/5)*2</f>
        <v>1830640</v>
      </c>
    </row>
    <row r="41" spans="2:30" ht="15.75" x14ac:dyDescent="0.25">
      <c r="B41" s="99"/>
      <c r="C41" s="99"/>
      <c r="D41" s="99"/>
      <c r="E41" s="99"/>
      <c r="F41" s="99"/>
      <c r="G41" s="99"/>
      <c r="H41" s="107"/>
      <c r="I41" s="94"/>
      <c r="J41" s="217"/>
      <c r="K41" s="217"/>
      <c r="L41" s="105"/>
    </row>
    <row r="42" spans="2:30" ht="15.75" customHeight="1" x14ac:dyDescent="0.25">
      <c r="B42" s="99" t="s">
        <v>60</v>
      </c>
      <c r="C42" s="99"/>
      <c r="D42" s="99"/>
      <c r="E42" s="99"/>
      <c r="F42" s="99"/>
      <c r="G42" s="99"/>
      <c r="H42" s="104">
        <f>S12+S13+S16+S17+S22+S23+S26+S27</f>
        <v>7907950</v>
      </c>
      <c r="I42" s="94"/>
      <c r="L42" s="95"/>
    </row>
    <row r="43" spans="2:30" ht="15" customHeight="1" x14ac:dyDescent="0.25">
      <c r="B43" s="94"/>
      <c r="C43" s="94"/>
      <c r="D43" s="94"/>
      <c r="H43" s="94"/>
      <c r="I43" s="94"/>
      <c r="L43" s="95"/>
    </row>
    <row r="44" spans="2:30" x14ac:dyDescent="0.25">
      <c r="B44" s="332" t="s">
        <v>61</v>
      </c>
      <c r="C44" s="332"/>
      <c r="D44" s="332"/>
      <c r="E44" s="332"/>
      <c r="F44" s="109">
        <f>S20+S24</f>
        <v>384900</v>
      </c>
      <c r="G44" s="94"/>
      <c r="H44" s="94"/>
      <c r="I44" s="94"/>
    </row>
    <row r="45" spans="2:30" x14ac:dyDescent="0.25">
      <c r="B45" s="332" t="s">
        <v>62</v>
      </c>
      <c r="C45" s="332"/>
      <c r="D45" s="332"/>
      <c r="E45" s="332"/>
      <c r="F45" s="110">
        <f>S6+S11+S12+S13+S16+S17+S22+S23+S26+S27+S33+S28</f>
        <v>8594450</v>
      </c>
      <c r="G45" s="111" t="s">
        <v>63</v>
      </c>
      <c r="H45" s="112">
        <f>S16+S17+S22+S23+S26+S13+S27</f>
        <v>7562100</v>
      </c>
      <c r="I45" s="94"/>
      <c r="J45" s="113"/>
    </row>
    <row r="46" spans="2:30" x14ac:dyDescent="0.25">
      <c r="B46" s="332" t="s">
        <v>64</v>
      </c>
      <c r="C46" s="332"/>
      <c r="D46" s="332"/>
      <c r="E46" s="332"/>
      <c r="F46" s="110">
        <f>S7+S8+S9+S10+S14+S15+S18+S19+S21+S25+S29+S30+S31+S32</f>
        <v>3505200</v>
      </c>
      <c r="G46" s="94"/>
      <c r="H46" s="94"/>
      <c r="I46" s="94"/>
      <c r="J46" s="114"/>
    </row>
    <row r="47" spans="2:30" ht="11.25" customHeight="1" x14ac:dyDescent="0.25">
      <c r="B47" s="94"/>
      <c r="C47" s="94"/>
      <c r="D47" s="94"/>
      <c r="E47" s="94"/>
      <c r="F47" s="94"/>
      <c r="G47" s="94"/>
      <c r="H47" s="115"/>
      <c r="I47" s="94"/>
    </row>
    <row r="48" spans="2:30" ht="21" customHeight="1" x14ac:dyDescent="0.25">
      <c r="B48" s="333" t="s">
        <v>65</v>
      </c>
      <c r="C48" s="333"/>
      <c r="D48" s="333"/>
      <c r="E48" s="333"/>
      <c r="F48" s="333"/>
      <c r="G48" s="333"/>
      <c r="H48" s="333"/>
      <c r="I48" s="333"/>
      <c r="J48" s="333"/>
      <c r="K48" s="333"/>
      <c r="L48" s="333"/>
    </row>
    <row r="49" spans="2:14" ht="20.25" customHeight="1" x14ac:dyDescent="0.25"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</row>
    <row r="50" spans="2:14" ht="15" customHeight="1" x14ac:dyDescent="0.25">
      <c r="B50" s="318" t="s">
        <v>66</v>
      </c>
      <c r="C50" s="318"/>
      <c r="D50" s="318"/>
      <c r="E50" s="318"/>
      <c r="F50" s="318"/>
      <c r="G50" s="318"/>
      <c r="H50" s="318"/>
      <c r="I50" s="318"/>
      <c r="J50" s="318"/>
      <c r="K50" s="318"/>
      <c r="L50" s="318"/>
      <c r="M50" s="334"/>
    </row>
    <row r="51" spans="2:14" ht="15" customHeight="1" x14ac:dyDescent="0.25">
      <c r="B51" s="318" t="s">
        <v>67</v>
      </c>
      <c r="C51" s="318"/>
      <c r="D51" s="318"/>
      <c r="E51" s="318"/>
      <c r="F51" s="318"/>
      <c r="G51" s="318"/>
      <c r="H51" s="318"/>
      <c r="I51" s="318"/>
      <c r="J51" s="318"/>
      <c r="K51" s="318"/>
      <c r="L51" s="318"/>
    </row>
    <row r="52" spans="2:14" ht="15" customHeight="1" x14ac:dyDescent="0.25"/>
    <row r="53" spans="2:14" ht="24.75" customHeight="1" thickBot="1" x14ac:dyDescent="0.3"/>
    <row r="54" spans="2:14" ht="51.75" customHeight="1" thickBot="1" x14ac:dyDescent="0.3">
      <c r="B54" s="319" t="s">
        <v>68</v>
      </c>
      <c r="C54" s="320"/>
      <c r="D54" s="218" t="s">
        <v>69</v>
      </c>
      <c r="E54" s="219" t="s">
        <v>70</v>
      </c>
      <c r="F54" s="118" t="s">
        <v>71</v>
      </c>
      <c r="G54" s="219" t="s">
        <v>72</v>
      </c>
      <c r="H54" s="119" t="s">
        <v>73</v>
      </c>
      <c r="J54" s="321" t="s">
        <v>74</v>
      </c>
      <c r="K54" s="321"/>
      <c r="L54" s="120">
        <f>S13+S12</f>
        <v>2309750</v>
      </c>
    </row>
    <row r="55" spans="2:14" ht="15.75" thickBot="1" x14ac:dyDescent="0.3">
      <c r="B55" s="322" t="s">
        <v>75</v>
      </c>
      <c r="C55" s="323"/>
      <c r="D55" s="121">
        <v>876</v>
      </c>
      <c r="E55" s="122">
        <f>(K40*D55)/D99</f>
        <v>36002.888060706748</v>
      </c>
      <c r="F55" s="123">
        <f>(N58*D55)/N62</f>
        <v>38330.311850311853</v>
      </c>
      <c r="G55" s="122">
        <f>E55+F55</f>
        <v>74333.199911018601</v>
      </c>
      <c r="H55" s="122">
        <v>74300</v>
      </c>
      <c r="J55" s="124" t="s">
        <v>76</v>
      </c>
      <c r="K55" s="124"/>
      <c r="L55" s="125">
        <f>S27</f>
        <v>796700</v>
      </c>
    </row>
    <row r="56" spans="2:14" ht="15.75" thickBot="1" x14ac:dyDescent="0.3">
      <c r="B56" s="324" t="s">
        <v>77</v>
      </c>
      <c r="C56" s="325"/>
      <c r="D56" s="126">
        <v>685</v>
      </c>
      <c r="E56" s="127">
        <f>(K40*D56)/D99</f>
        <v>28152.943289479594</v>
      </c>
      <c r="F56" s="128">
        <f>(N60*D56)/N63</f>
        <v>40846.740611013818</v>
      </c>
      <c r="G56" s="127">
        <f>E56+F56</f>
        <v>68999.683900493415</v>
      </c>
      <c r="H56" s="122">
        <v>69000</v>
      </c>
      <c r="J56" s="129" t="s">
        <v>78</v>
      </c>
      <c r="K56" s="129"/>
      <c r="L56" s="130">
        <f>S26</f>
        <v>794400</v>
      </c>
    </row>
    <row r="57" spans="2:14" ht="15.75" thickBot="1" x14ac:dyDescent="0.3">
      <c r="B57" s="326" t="s">
        <v>79</v>
      </c>
      <c r="C57" s="327"/>
      <c r="D57" s="121">
        <v>4584</v>
      </c>
      <c r="E57" s="122">
        <f>(K40*D57)/D99</f>
        <v>188398.67450945175</v>
      </c>
      <c r="F57" s="131">
        <f>L56</f>
        <v>794400</v>
      </c>
      <c r="G57" s="122">
        <f t="shared" ref="G57:G95" si="12">E57+F57</f>
        <v>982798.67450945172</v>
      </c>
      <c r="H57" s="122">
        <v>188400</v>
      </c>
      <c r="I57" s="2" t="s">
        <v>80</v>
      </c>
      <c r="J57" s="328" t="s">
        <v>81</v>
      </c>
      <c r="K57" s="329"/>
      <c r="L57" s="132">
        <f>S17</f>
        <v>947100</v>
      </c>
      <c r="M57" s="133" t="s">
        <v>82</v>
      </c>
      <c r="N57" s="134">
        <f>L57*60%</f>
        <v>568260</v>
      </c>
    </row>
    <row r="58" spans="2:14" ht="15.75" thickBot="1" x14ac:dyDescent="0.3">
      <c r="B58" s="324" t="s">
        <v>83</v>
      </c>
      <c r="C58" s="325"/>
      <c r="D58" s="126">
        <v>414</v>
      </c>
      <c r="E58" s="127">
        <f>(K40*D58)/D99</f>
        <v>17015.063535539492</v>
      </c>
      <c r="F58" s="128">
        <f>(N60*D58)/N63</f>
        <v>24686.935201401051</v>
      </c>
      <c r="G58" s="127">
        <f t="shared" si="12"/>
        <v>41701.998736940543</v>
      </c>
      <c r="H58" s="122">
        <v>41700</v>
      </c>
      <c r="J58" s="339" t="s">
        <v>84</v>
      </c>
      <c r="K58" s="339"/>
      <c r="L58" s="135">
        <f>S23</f>
        <v>362400</v>
      </c>
      <c r="M58" s="136" t="s">
        <v>85</v>
      </c>
      <c r="N58" s="137">
        <f>L57*40%</f>
        <v>378840</v>
      </c>
    </row>
    <row r="59" spans="2:14" ht="15.75" thickBot="1" x14ac:dyDescent="0.3">
      <c r="B59" s="322" t="s">
        <v>86</v>
      </c>
      <c r="C59" s="323"/>
      <c r="D59" s="121">
        <v>1536</v>
      </c>
      <c r="E59" s="122">
        <f>(K40*D59)/D99</f>
        <v>63128.351668088544</v>
      </c>
      <c r="F59" s="123">
        <f>(N58*D59)/N62</f>
        <v>67209.313929313925</v>
      </c>
      <c r="G59" s="122">
        <f t="shared" si="12"/>
        <v>130337.66559740246</v>
      </c>
      <c r="H59" s="122">
        <v>130300</v>
      </c>
      <c r="J59" s="340" t="s">
        <v>87</v>
      </c>
      <c r="K59" s="340"/>
      <c r="L59" s="138">
        <f>S22</f>
        <v>2298300</v>
      </c>
      <c r="M59" s="139" t="s">
        <v>88</v>
      </c>
      <c r="N59" s="140">
        <f>(L59/5)*3</f>
        <v>1378980</v>
      </c>
    </row>
    <row r="60" spans="2:14" ht="15.75" thickBot="1" x14ac:dyDescent="0.3">
      <c r="B60" s="324" t="s">
        <v>89</v>
      </c>
      <c r="C60" s="325"/>
      <c r="D60" s="126">
        <v>1013</v>
      </c>
      <c r="E60" s="127">
        <f>(K40*D60)/D99</f>
        <v>41633.476718602666</v>
      </c>
      <c r="F60" s="128">
        <f>(N60*D60)/N63</f>
        <v>60405.471881689045</v>
      </c>
      <c r="G60" s="127">
        <f t="shared" si="12"/>
        <v>102038.94860029171</v>
      </c>
      <c r="H60" s="122">
        <v>102000</v>
      </c>
      <c r="J60" s="341" t="s">
        <v>90</v>
      </c>
      <c r="K60" s="341"/>
      <c r="L60" s="141">
        <f>S16</f>
        <v>399300</v>
      </c>
      <c r="M60" s="136" t="s">
        <v>59</v>
      </c>
      <c r="N60" s="142">
        <f>(L59/5)*2</f>
        <v>919320</v>
      </c>
    </row>
    <row r="61" spans="2:14" ht="15.75" thickBot="1" x14ac:dyDescent="0.3">
      <c r="B61" s="322" t="s">
        <v>91</v>
      </c>
      <c r="C61" s="323"/>
      <c r="D61" s="121">
        <v>253</v>
      </c>
      <c r="E61" s="122">
        <f>(K40*D61)/D99</f>
        <v>10398.094382829689</v>
      </c>
      <c r="F61" s="123">
        <f>(N58*D61)/N62</f>
        <v>11070.28413028413</v>
      </c>
      <c r="G61" s="122">
        <f>E61+F61</f>
        <v>21468.378513113821</v>
      </c>
      <c r="H61" s="122">
        <v>21500</v>
      </c>
      <c r="L61" s="143">
        <f>SUM(L54:L60)</f>
        <v>7907950</v>
      </c>
    </row>
    <row r="62" spans="2:14" ht="15.75" thickBot="1" x14ac:dyDescent="0.3">
      <c r="B62" s="335" t="s">
        <v>92</v>
      </c>
      <c r="C62" s="336"/>
      <c r="D62" s="126">
        <v>2168</v>
      </c>
      <c r="E62" s="127">
        <f>(K40*D62)/D99</f>
        <v>89103.038031520817</v>
      </c>
      <c r="F62" s="144">
        <f>(L60*D62)/L64</f>
        <v>162905.98419269852</v>
      </c>
      <c r="G62" s="127">
        <f>E62+F62</f>
        <v>252009.02222421934</v>
      </c>
      <c r="H62" s="122">
        <v>252000</v>
      </c>
      <c r="J62" s="145" t="s">
        <v>93</v>
      </c>
      <c r="K62" s="145"/>
      <c r="L62" s="146">
        <f>D55+D59+D61+D68+D71+D72+D73+D75+D85+D87+D92+D94+D93+D74</f>
        <v>11197</v>
      </c>
      <c r="M62" s="147" t="s">
        <v>94</v>
      </c>
      <c r="N62" s="148">
        <f>L62-D93</f>
        <v>8658</v>
      </c>
    </row>
    <row r="63" spans="2:14" ht="15.75" thickBot="1" x14ac:dyDescent="0.3">
      <c r="B63" s="337" t="s">
        <v>95</v>
      </c>
      <c r="C63" s="338"/>
      <c r="D63" s="121">
        <v>402</v>
      </c>
      <c r="E63" s="122">
        <f>(K40*D63)/D99</f>
        <v>16521.873288132549</v>
      </c>
      <c r="F63" s="149">
        <f>(N60*D63)/N63</f>
        <v>23971.371862230008</v>
      </c>
      <c r="G63" s="122">
        <f t="shared" si="12"/>
        <v>40493.245150362556</v>
      </c>
      <c r="H63" s="122">
        <v>40500</v>
      </c>
      <c r="J63" s="150" t="s">
        <v>96</v>
      </c>
      <c r="K63" s="150"/>
      <c r="L63" s="151">
        <f>D56+D58+D60+D63+D64+D65+D66+D67+D69+D70+D76+D77+D78+D82+D84+D86+D88+D90+D91+D95+D97</f>
        <v>26216</v>
      </c>
      <c r="M63" s="152" t="s">
        <v>97</v>
      </c>
      <c r="N63" s="152">
        <f>L63-D97</f>
        <v>15417</v>
      </c>
    </row>
    <row r="64" spans="2:14" ht="15.75" thickBot="1" x14ac:dyDescent="0.3">
      <c r="B64" s="324" t="s">
        <v>98</v>
      </c>
      <c r="C64" s="325"/>
      <c r="D64" s="126">
        <v>717</v>
      </c>
      <c r="E64" s="127">
        <f>(K40*D64)/D99</f>
        <v>29468.11728256477</v>
      </c>
      <c r="F64" s="128">
        <f>(N60*D64)/N63</f>
        <v>42754.909515469939</v>
      </c>
      <c r="G64" s="127">
        <f t="shared" si="12"/>
        <v>72223.026798034713</v>
      </c>
      <c r="H64" s="122">
        <v>72200</v>
      </c>
      <c r="J64" s="153" t="s">
        <v>99</v>
      </c>
      <c r="K64" s="153"/>
      <c r="L64" s="154">
        <f>D62+D79+D80+D83</f>
        <v>5314</v>
      </c>
    </row>
    <row r="65" spans="1:12" ht="15.75" thickBot="1" x14ac:dyDescent="0.3">
      <c r="B65" s="337" t="s">
        <v>100</v>
      </c>
      <c r="C65" s="338"/>
      <c r="D65" s="121">
        <v>244</v>
      </c>
      <c r="E65" s="122">
        <f>(K40*D65)/D99</f>
        <v>10028.201697274482</v>
      </c>
      <c r="F65" s="149">
        <f>(N60*D65)/N63</f>
        <v>14549.787896477914</v>
      </c>
      <c r="G65" s="122">
        <f t="shared" si="12"/>
        <v>24577.989593752398</v>
      </c>
      <c r="H65" s="122">
        <v>24600</v>
      </c>
      <c r="J65" s="155" t="s">
        <v>101</v>
      </c>
      <c r="K65" s="155"/>
      <c r="L65" s="156">
        <f>D57</f>
        <v>4584</v>
      </c>
    </row>
    <row r="66" spans="1:12" ht="15.75" thickBot="1" x14ac:dyDescent="0.3">
      <c r="B66" s="324" t="s">
        <v>102</v>
      </c>
      <c r="C66" s="325"/>
      <c r="D66" s="126">
        <v>874</v>
      </c>
      <c r="E66" s="127">
        <f>(K40*D66)/D99</f>
        <v>35920.689686138925</v>
      </c>
      <c r="F66" s="128">
        <f>(N60*D66)/N63</f>
        <v>52116.863202957771</v>
      </c>
      <c r="G66" s="127">
        <f t="shared" si="12"/>
        <v>88037.552889096696</v>
      </c>
      <c r="H66" s="122">
        <v>88000</v>
      </c>
      <c r="J66" s="157" t="s">
        <v>103</v>
      </c>
      <c r="K66" s="157"/>
      <c r="L66" s="158">
        <f>D81</f>
        <v>3528</v>
      </c>
    </row>
    <row r="67" spans="1:12" ht="15.75" thickBot="1" x14ac:dyDescent="0.3">
      <c r="B67" s="337" t="s">
        <v>104</v>
      </c>
      <c r="C67" s="338"/>
      <c r="D67" s="121">
        <v>175</v>
      </c>
      <c r="E67" s="122">
        <f>(K40*D67)/D99</f>
        <v>7192.3577746845676</v>
      </c>
      <c r="F67" s="149">
        <f>(N60*D67)/N63</f>
        <v>10435.298696244405</v>
      </c>
      <c r="G67" s="122">
        <f t="shared" si="12"/>
        <v>17627.656470928974</v>
      </c>
      <c r="H67" s="122">
        <v>17600</v>
      </c>
      <c r="J67" s="159" t="s">
        <v>105</v>
      </c>
      <c r="K67" s="159"/>
      <c r="L67" s="160">
        <f>D89</f>
        <v>4502</v>
      </c>
    </row>
    <row r="68" spans="1:12" ht="15.75" thickBot="1" x14ac:dyDescent="0.3">
      <c r="B68" s="348" t="s">
        <v>106</v>
      </c>
      <c r="C68" s="349"/>
      <c r="D68" s="126">
        <v>835</v>
      </c>
      <c r="E68" s="127">
        <f>(K40*D68)/D99</f>
        <v>34317.821382066366</v>
      </c>
      <c r="F68" s="161">
        <f>(N58*D68)/N62</f>
        <v>36536.313236313239</v>
      </c>
      <c r="G68" s="127">
        <f t="shared" si="12"/>
        <v>70854.134618379612</v>
      </c>
      <c r="H68" s="122">
        <v>71900</v>
      </c>
    </row>
    <row r="69" spans="1:12" ht="15.75" thickBot="1" x14ac:dyDescent="0.3">
      <c r="B69" s="337" t="s">
        <v>107</v>
      </c>
      <c r="C69" s="338"/>
      <c r="D69" s="121">
        <v>1899</v>
      </c>
      <c r="E69" s="122">
        <f>(K40*D69)/D99</f>
        <v>78047.356652148534</v>
      </c>
      <c r="F69" s="149">
        <f>(N60*D69)/N63</f>
        <v>113237.89842381787</v>
      </c>
      <c r="G69" s="122">
        <f t="shared" si="12"/>
        <v>191285.25507596642</v>
      </c>
      <c r="H69" s="122">
        <v>191300</v>
      </c>
    </row>
    <row r="70" spans="1:12" ht="15.75" thickBot="1" x14ac:dyDescent="0.3">
      <c r="B70" s="324" t="s">
        <v>108</v>
      </c>
      <c r="C70" s="325"/>
      <c r="D70" s="126">
        <v>712</v>
      </c>
      <c r="E70" s="127">
        <f>(K40*D70)/D99</f>
        <v>29262.62134614521</v>
      </c>
      <c r="F70" s="128">
        <f>(N60*D70)/N63</f>
        <v>42456.75812414867</v>
      </c>
      <c r="G70" s="127">
        <f t="shared" si="12"/>
        <v>71719.379470293876</v>
      </c>
      <c r="H70" s="122">
        <v>71700</v>
      </c>
    </row>
    <row r="71" spans="1:12" ht="15.75" thickBot="1" x14ac:dyDescent="0.3">
      <c r="B71" s="322" t="s">
        <v>109</v>
      </c>
      <c r="C71" s="323"/>
      <c r="D71" s="121">
        <v>314</v>
      </c>
      <c r="E71" s="122">
        <f>(K40*D71)/D99</f>
        <v>12905.14480714831</v>
      </c>
      <c r="F71" s="123">
        <f>(N58*D71)/N62</f>
        <v>13739.404019404019</v>
      </c>
      <c r="G71" s="122">
        <f>E71+F71</f>
        <v>26644.548826552331</v>
      </c>
      <c r="H71" s="122">
        <v>26600</v>
      </c>
      <c r="J71" s="350" t="s">
        <v>110</v>
      </c>
      <c r="K71" s="350"/>
    </row>
    <row r="72" spans="1:12" ht="15.75" thickBot="1" x14ac:dyDescent="0.3">
      <c r="B72" s="322" t="s">
        <v>111</v>
      </c>
      <c r="C72" s="323"/>
      <c r="D72" s="126">
        <v>869</v>
      </c>
      <c r="E72" s="127">
        <f>(K40*D72)/D99</f>
        <v>35715.193749719365</v>
      </c>
      <c r="F72" s="161">
        <f>(N58*D72)/N62</f>
        <v>38024.019404019404</v>
      </c>
      <c r="G72" s="127">
        <f t="shared" si="12"/>
        <v>73739.213153738761</v>
      </c>
      <c r="H72" s="122">
        <v>73700</v>
      </c>
      <c r="J72" s="162" t="s">
        <v>112</v>
      </c>
      <c r="K72" s="162" t="s">
        <v>113</v>
      </c>
      <c r="L72" s="162"/>
    </row>
    <row r="73" spans="1:12" ht="15.75" thickBot="1" x14ac:dyDescent="0.3">
      <c r="B73" s="322" t="s">
        <v>114</v>
      </c>
      <c r="C73" s="323"/>
      <c r="D73" s="121">
        <v>342</v>
      </c>
      <c r="E73" s="122">
        <f>(K40*D73)/D99</f>
        <v>14055.922051097839</v>
      </c>
      <c r="F73" s="123">
        <f>(N58*D73)/N62</f>
        <v>14964.573804573805</v>
      </c>
      <c r="G73" s="122">
        <f t="shared" si="12"/>
        <v>29020.495855671645</v>
      </c>
      <c r="H73" s="122">
        <v>29000</v>
      </c>
      <c r="J73" s="163" t="s">
        <v>115</v>
      </c>
      <c r="K73" s="342" t="s">
        <v>116</v>
      </c>
      <c r="L73" s="343"/>
    </row>
    <row r="74" spans="1:12" ht="15.75" thickBot="1" x14ac:dyDescent="0.3">
      <c r="A74" s="164"/>
      <c r="B74" s="322" t="s">
        <v>117</v>
      </c>
      <c r="C74" s="323"/>
      <c r="D74" s="126">
        <v>474</v>
      </c>
      <c r="E74" s="127">
        <f>(K40*D74)/D99</f>
        <v>19481.014772574199</v>
      </c>
      <c r="F74" s="123">
        <f>(N58*D74)/N62</f>
        <v>20740.374220374219</v>
      </c>
      <c r="G74" s="127">
        <f>E74+F74</f>
        <v>40221.388992948414</v>
      </c>
      <c r="H74" s="122">
        <v>40200</v>
      </c>
      <c r="J74" s="156" t="s">
        <v>118</v>
      </c>
      <c r="K74" s="344" t="s">
        <v>79</v>
      </c>
      <c r="L74" s="345"/>
    </row>
    <row r="75" spans="1:12" ht="15.75" thickBot="1" x14ac:dyDescent="0.3">
      <c r="A75" s="164"/>
      <c r="B75" s="322" t="s">
        <v>119</v>
      </c>
      <c r="C75" s="323"/>
      <c r="D75" s="121">
        <v>225</v>
      </c>
      <c r="E75" s="122">
        <f>(K40*D75)/D99</f>
        <v>9247.3171388801584</v>
      </c>
      <c r="F75" s="123">
        <f>(N58*D75)/N62</f>
        <v>9845.1143451143453</v>
      </c>
      <c r="G75" s="122">
        <f t="shared" si="12"/>
        <v>19092.431483994504</v>
      </c>
      <c r="H75" s="122">
        <v>19100</v>
      </c>
      <c r="J75" s="158" t="s">
        <v>120</v>
      </c>
      <c r="K75" s="346" t="s">
        <v>121</v>
      </c>
      <c r="L75" s="347"/>
    </row>
    <row r="76" spans="1:12" ht="15.75" thickBot="1" x14ac:dyDescent="0.3">
      <c r="B76" s="324" t="s">
        <v>122</v>
      </c>
      <c r="C76" s="325"/>
      <c r="D76" s="126">
        <v>150</v>
      </c>
      <c r="E76" s="127">
        <f>(K40*D76)/D99</f>
        <v>6164.8780925867723</v>
      </c>
      <c r="F76" s="128">
        <f>(N60*D76)/N63</f>
        <v>8944.5417396380617</v>
      </c>
      <c r="G76" s="127">
        <f t="shared" si="12"/>
        <v>15109.419832224834</v>
      </c>
      <c r="H76" s="122">
        <v>15100</v>
      </c>
      <c r="J76" s="160" t="s">
        <v>123</v>
      </c>
      <c r="K76" s="357" t="s">
        <v>124</v>
      </c>
      <c r="L76" s="358"/>
    </row>
    <row r="77" spans="1:12" ht="15.75" thickBot="1" x14ac:dyDescent="0.3">
      <c r="B77" s="337" t="s">
        <v>125</v>
      </c>
      <c r="C77" s="338"/>
      <c r="D77" s="121">
        <v>495</v>
      </c>
      <c r="E77" s="122">
        <f>(K40*D77)/D99</f>
        <v>20344.097705536347</v>
      </c>
      <c r="F77" s="149">
        <f>(N60*D77)/N63</f>
        <v>29516.987740805605</v>
      </c>
      <c r="G77" s="122">
        <f t="shared" si="12"/>
        <v>49861.085446341953</v>
      </c>
      <c r="H77" s="122">
        <v>49900</v>
      </c>
      <c r="J77" s="359" t="s">
        <v>126</v>
      </c>
      <c r="K77" s="362" t="s">
        <v>127</v>
      </c>
      <c r="L77" s="363"/>
    </row>
    <row r="78" spans="1:12" ht="15.75" thickBot="1" x14ac:dyDescent="0.3">
      <c r="B78" s="324" t="s">
        <v>128</v>
      </c>
      <c r="C78" s="325"/>
      <c r="D78" s="126">
        <v>836</v>
      </c>
      <c r="E78" s="127">
        <f>(K40*D78)/D99</f>
        <v>34358.920569350274</v>
      </c>
      <c r="F78" s="128">
        <f>(N60*D78)/N63</f>
        <v>49850.912628916129</v>
      </c>
      <c r="G78" s="127">
        <f t="shared" si="12"/>
        <v>84209.833198266395</v>
      </c>
      <c r="H78" s="122">
        <v>84200</v>
      </c>
      <c r="J78" s="360"/>
      <c r="K78" s="364"/>
      <c r="L78" s="365"/>
    </row>
    <row r="79" spans="1:12" ht="15.75" thickBot="1" x14ac:dyDescent="0.3">
      <c r="B79" s="368" t="s">
        <v>129</v>
      </c>
      <c r="C79" s="369"/>
      <c r="D79" s="121">
        <v>370</v>
      </c>
      <c r="E79" s="122">
        <f>(K40*D79)/D99</f>
        <v>15206.69929504737</v>
      </c>
      <c r="F79" s="165">
        <f>(L60*D79)/L64</f>
        <v>27802.220549491907</v>
      </c>
      <c r="G79" s="122">
        <f t="shared" si="12"/>
        <v>43008.919844539276</v>
      </c>
      <c r="H79" s="122">
        <v>53000</v>
      </c>
      <c r="J79" s="360"/>
      <c r="K79" s="364"/>
      <c r="L79" s="365"/>
    </row>
    <row r="80" spans="1:12" ht="15.75" thickBot="1" x14ac:dyDescent="0.3">
      <c r="B80" s="335" t="s">
        <v>130</v>
      </c>
      <c r="C80" s="336"/>
      <c r="D80" s="126">
        <v>599</v>
      </c>
      <c r="E80" s="127">
        <f>(K40*D80)/D99</f>
        <v>24618.413183063178</v>
      </c>
      <c r="F80" s="144">
        <f>(L60*D80)/L64</f>
        <v>45009.540835528795</v>
      </c>
      <c r="G80" s="127">
        <f t="shared" si="12"/>
        <v>69627.954018591976</v>
      </c>
      <c r="H80" s="122">
        <v>80000</v>
      </c>
      <c r="J80" s="360"/>
      <c r="K80" s="364"/>
      <c r="L80" s="365"/>
    </row>
    <row r="81" spans="2:12" ht="15.75" thickBot="1" x14ac:dyDescent="0.3">
      <c r="B81" s="370" t="s">
        <v>121</v>
      </c>
      <c r="C81" s="371"/>
      <c r="D81" s="121">
        <v>3528</v>
      </c>
      <c r="E81" s="122">
        <f>(K40*D81)/D99</f>
        <v>144997.93273764089</v>
      </c>
      <c r="F81" s="166">
        <f>L58</f>
        <v>362400</v>
      </c>
      <c r="G81" s="122">
        <f t="shared" si="12"/>
        <v>507397.93273764092</v>
      </c>
      <c r="H81" s="122">
        <v>145800</v>
      </c>
      <c r="I81" s="2" t="s">
        <v>80</v>
      </c>
      <c r="J81" s="360"/>
      <c r="K81" s="364"/>
      <c r="L81" s="365"/>
    </row>
    <row r="82" spans="2:12" ht="15.75" thickBot="1" x14ac:dyDescent="0.3">
      <c r="B82" s="372" t="s">
        <v>131</v>
      </c>
      <c r="C82" s="373"/>
      <c r="D82" s="126">
        <v>367</v>
      </c>
      <c r="E82" s="127">
        <f>(K40*D82)/D99</f>
        <v>15083.401733195635</v>
      </c>
      <c r="F82" s="128">
        <f>(N60*D82)/N63</f>
        <v>21884.312122981126</v>
      </c>
      <c r="G82" s="127">
        <f t="shared" si="12"/>
        <v>36967.713856176764</v>
      </c>
      <c r="H82" s="122">
        <v>37000</v>
      </c>
      <c r="J82" s="360"/>
      <c r="K82" s="364"/>
      <c r="L82" s="365"/>
    </row>
    <row r="83" spans="2:12" ht="15.75" thickBot="1" x14ac:dyDescent="0.3">
      <c r="B83" s="368" t="s">
        <v>132</v>
      </c>
      <c r="C83" s="369"/>
      <c r="D83" s="121">
        <v>2177</v>
      </c>
      <c r="E83" s="122">
        <f>(K40*D83)/D99</f>
        <v>89472.930717076015</v>
      </c>
      <c r="F83" s="165">
        <f>(L60*D83)/L64</f>
        <v>163582.25442228076</v>
      </c>
      <c r="G83" s="122">
        <f t="shared" si="12"/>
        <v>253055.18513935676</v>
      </c>
      <c r="H83" s="122">
        <v>263000</v>
      </c>
      <c r="J83" s="361"/>
      <c r="K83" s="366"/>
      <c r="L83" s="367"/>
    </row>
    <row r="84" spans="2:12" ht="15.75" thickBot="1" x14ac:dyDescent="0.3">
      <c r="B84" s="324" t="s">
        <v>133</v>
      </c>
      <c r="C84" s="325"/>
      <c r="D84" s="126">
        <v>942</v>
      </c>
      <c r="E84" s="127">
        <f>(K40*D84)/D99</f>
        <v>38715.43442144493</v>
      </c>
      <c r="F84" s="128">
        <f>(N60*D84)/N63</f>
        <v>56171.72212492703</v>
      </c>
      <c r="G84" s="127">
        <f t="shared" si="12"/>
        <v>94887.15654637196</v>
      </c>
      <c r="H84" s="122">
        <v>94900</v>
      </c>
      <c r="J84" s="378" t="s">
        <v>134</v>
      </c>
      <c r="K84" s="351" t="s">
        <v>135</v>
      </c>
      <c r="L84" s="352"/>
    </row>
    <row r="85" spans="2:12" ht="15.75" thickBot="1" x14ac:dyDescent="0.3">
      <c r="B85" s="322" t="s">
        <v>136</v>
      </c>
      <c r="C85" s="323"/>
      <c r="D85" s="121">
        <v>771</v>
      </c>
      <c r="E85" s="122">
        <f>(K40*D85)/D99</f>
        <v>31687.47339589601</v>
      </c>
      <c r="F85" s="123">
        <f>(N58*D85)/N62</f>
        <v>33735.925155925157</v>
      </c>
      <c r="G85" s="122">
        <f t="shared" si="12"/>
        <v>65423.39855182117</v>
      </c>
      <c r="H85" s="122">
        <v>65400</v>
      </c>
      <c r="J85" s="379"/>
      <c r="K85" s="353"/>
      <c r="L85" s="354"/>
    </row>
    <row r="86" spans="2:12" ht="15.75" thickBot="1" x14ac:dyDescent="0.3">
      <c r="B86" s="324" t="s">
        <v>137</v>
      </c>
      <c r="C86" s="325"/>
      <c r="D86" s="126">
        <v>2160</v>
      </c>
      <c r="E86" s="127">
        <f>(K40*D86)/D99</f>
        <v>88774.244533249512</v>
      </c>
      <c r="F86" s="128">
        <f>(N60*D86)/N63</f>
        <v>128801.40105078809</v>
      </c>
      <c r="G86" s="127">
        <f t="shared" si="12"/>
        <v>217575.64558403759</v>
      </c>
      <c r="H86" s="122">
        <v>217600</v>
      </c>
      <c r="J86" s="355" t="s">
        <v>138</v>
      </c>
      <c r="K86" s="356" t="s">
        <v>139</v>
      </c>
      <c r="L86" s="356"/>
    </row>
    <row r="87" spans="2:12" ht="15.75" thickBot="1" x14ac:dyDescent="0.3">
      <c r="B87" s="322" t="s">
        <v>140</v>
      </c>
      <c r="C87" s="323"/>
      <c r="D87" s="121">
        <v>524</v>
      </c>
      <c r="E87" s="122">
        <f>(K40*D87)/D99</f>
        <v>21535.97413676979</v>
      </c>
      <c r="F87" s="123">
        <f>(N58*D87)/N62</f>
        <v>22928.177408177409</v>
      </c>
      <c r="G87" s="122">
        <f t="shared" si="12"/>
        <v>44464.151544947199</v>
      </c>
      <c r="H87" s="122">
        <v>44500</v>
      </c>
      <c r="J87" s="355"/>
      <c r="K87" s="356"/>
      <c r="L87" s="356"/>
    </row>
    <row r="88" spans="2:12" ht="15.75" thickBot="1" x14ac:dyDescent="0.3">
      <c r="B88" s="324" t="s">
        <v>141</v>
      </c>
      <c r="C88" s="325"/>
      <c r="D88" s="126">
        <v>1026</v>
      </c>
      <c r="E88" s="127">
        <f>(K40*D88)/D99</f>
        <v>42167.766153293524</v>
      </c>
      <c r="F88" s="128">
        <f>(N60*D88)/N63</f>
        <v>61180.665499124341</v>
      </c>
      <c r="G88" s="127">
        <f t="shared" si="12"/>
        <v>103348.43165241787</v>
      </c>
      <c r="H88" s="122">
        <v>103500</v>
      </c>
      <c r="J88" s="355"/>
      <c r="K88" s="356"/>
      <c r="L88" s="356"/>
    </row>
    <row r="89" spans="2:12" ht="15.75" thickBot="1" x14ac:dyDescent="0.3">
      <c r="B89" s="374" t="s">
        <v>124</v>
      </c>
      <c r="C89" s="375"/>
      <c r="D89" s="121">
        <v>4502</v>
      </c>
      <c r="E89" s="122">
        <f>(K40*D89)/D99</f>
        <v>185028.54115217098</v>
      </c>
      <c r="F89" s="167">
        <f>L55</f>
        <v>796700</v>
      </c>
      <c r="G89" s="122">
        <f t="shared" si="12"/>
        <v>981728.54115217098</v>
      </c>
      <c r="H89" s="122">
        <v>185000</v>
      </c>
      <c r="I89" s="2" t="s">
        <v>80</v>
      </c>
      <c r="J89" s="355"/>
      <c r="K89" s="356"/>
      <c r="L89" s="356"/>
    </row>
    <row r="90" spans="2:12" ht="15.75" thickBot="1" x14ac:dyDescent="0.3">
      <c r="B90" s="324" t="s">
        <v>142</v>
      </c>
      <c r="C90" s="325"/>
      <c r="D90" s="126">
        <v>579</v>
      </c>
      <c r="E90" s="127">
        <f>(K40*D90)/D99</f>
        <v>23796.429437384941</v>
      </c>
      <c r="F90" s="128">
        <f>(N60*D90)/N63</f>
        <v>34525.931115002917</v>
      </c>
      <c r="G90" s="127">
        <f t="shared" si="12"/>
        <v>58322.360552387858</v>
      </c>
      <c r="H90" s="122">
        <v>58300</v>
      </c>
      <c r="J90" s="355"/>
      <c r="K90" s="356"/>
      <c r="L90" s="356"/>
    </row>
    <row r="91" spans="2:12" ht="15.75" thickBot="1" x14ac:dyDescent="0.3">
      <c r="B91" s="376" t="s">
        <v>143</v>
      </c>
      <c r="C91" s="377"/>
      <c r="D91" s="121">
        <v>731</v>
      </c>
      <c r="E91" s="122">
        <f>(K40*D91)/D99</f>
        <v>30043.505904539536</v>
      </c>
      <c r="F91" s="149">
        <f>(N60*D91)/N63</f>
        <v>43589.733411169487</v>
      </c>
      <c r="G91" s="122">
        <f t="shared" si="12"/>
        <v>73633.239315709026</v>
      </c>
      <c r="H91" s="122">
        <v>73600</v>
      </c>
    </row>
    <row r="92" spans="2:12" ht="15.75" thickBot="1" x14ac:dyDescent="0.3">
      <c r="B92" s="348" t="s">
        <v>144</v>
      </c>
      <c r="C92" s="349"/>
      <c r="D92" s="126">
        <v>1117</v>
      </c>
      <c r="E92" s="127">
        <f>(K40*D92)/D99</f>
        <v>45907.792196129492</v>
      </c>
      <c r="F92" s="161">
        <f>(N58*D92)/N62</f>
        <v>48875.523215523215</v>
      </c>
      <c r="G92" s="127">
        <f t="shared" si="12"/>
        <v>94783.3154116527</v>
      </c>
      <c r="H92" s="122">
        <v>95000</v>
      </c>
    </row>
    <row r="93" spans="2:12" ht="15.75" thickBot="1" x14ac:dyDescent="0.3">
      <c r="B93" s="322" t="s">
        <v>145</v>
      </c>
      <c r="C93" s="323"/>
      <c r="D93" s="121">
        <v>2539</v>
      </c>
      <c r="E93" s="122">
        <f>(K40*D93)/D99</f>
        <v>104350.83651385209</v>
      </c>
      <c r="F93" s="123">
        <f>N57</f>
        <v>568260</v>
      </c>
      <c r="G93" s="122">
        <f t="shared" si="12"/>
        <v>672610.83651385212</v>
      </c>
      <c r="H93" s="122">
        <v>672700</v>
      </c>
    </row>
    <row r="94" spans="2:12" ht="15.75" thickBot="1" x14ac:dyDescent="0.3">
      <c r="B94" s="348" t="s">
        <v>146</v>
      </c>
      <c r="C94" s="349"/>
      <c r="D94" s="126">
        <v>522</v>
      </c>
      <c r="E94" s="127">
        <f>(K40*D94)/D99</f>
        <v>21453.775762201967</v>
      </c>
      <c r="F94" s="161">
        <f>(N58*D94)/N62</f>
        <v>22840.665280665282</v>
      </c>
      <c r="G94" s="127">
        <f t="shared" si="12"/>
        <v>44294.441042867249</v>
      </c>
      <c r="H94" s="122">
        <v>44300</v>
      </c>
    </row>
    <row r="95" spans="2:12" ht="15.75" thickBot="1" x14ac:dyDescent="0.3">
      <c r="B95" s="337" t="s">
        <v>147</v>
      </c>
      <c r="C95" s="338"/>
      <c r="D95" s="121">
        <v>996</v>
      </c>
      <c r="E95" s="122">
        <f>(K40*D95)/D99</f>
        <v>40934.79053477617</v>
      </c>
      <c r="F95" s="149">
        <f>(N60*D95)/N63</f>
        <v>59391.757151196733</v>
      </c>
      <c r="G95" s="122">
        <f t="shared" si="12"/>
        <v>100326.54768597291</v>
      </c>
      <c r="H95" s="122">
        <v>100300</v>
      </c>
      <c r="K95" s="95"/>
    </row>
    <row r="96" spans="2:12" s="171" customFormat="1" ht="27.75" customHeight="1" thickBot="1" x14ac:dyDescent="0.3">
      <c r="B96" s="396" t="s">
        <v>148</v>
      </c>
      <c r="C96" s="397"/>
      <c r="D96" s="126"/>
      <c r="E96" s="168">
        <f>SUM(E55:E95)</f>
        <v>1830639.9999999991</v>
      </c>
      <c r="F96" s="169">
        <f>SUM(F55:F95)</f>
        <v>4219220</v>
      </c>
      <c r="G96" s="168">
        <f>SUM(G55:G95)</f>
        <v>6049860.0000000019</v>
      </c>
      <c r="H96" s="170">
        <f>SUM(H55:H95)</f>
        <v>4128700</v>
      </c>
      <c r="J96" s="172"/>
      <c r="K96" s="173"/>
    </row>
    <row r="97" spans="2:13" x14ac:dyDescent="0.25">
      <c r="B97" s="398" t="s">
        <v>116</v>
      </c>
      <c r="C97" s="399"/>
      <c r="D97" s="402">
        <v>10799</v>
      </c>
      <c r="E97" s="404">
        <f>K39</f>
        <v>2745960</v>
      </c>
      <c r="F97" s="174">
        <f>N59</f>
        <v>1378980</v>
      </c>
      <c r="G97" s="406">
        <f>E97+F97+F98</f>
        <v>6434690</v>
      </c>
      <c r="H97" s="383"/>
      <c r="J97" s="175"/>
      <c r="K97" s="175"/>
    </row>
    <row r="98" spans="2:13" ht="15.75" thickBot="1" x14ac:dyDescent="0.3">
      <c r="B98" s="400"/>
      <c r="C98" s="401"/>
      <c r="D98" s="403"/>
      <c r="E98" s="405"/>
      <c r="F98" s="176">
        <f>L54</f>
        <v>2309750</v>
      </c>
      <c r="G98" s="407"/>
      <c r="H98" s="383"/>
      <c r="J98" s="175"/>
      <c r="K98" s="98"/>
      <c r="L98" s="384"/>
      <c r="M98" s="385"/>
    </row>
    <row r="99" spans="2:13" x14ac:dyDescent="0.25">
      <c r="B99" s="386" t="s">
        <v>149</v>
      </c>
      <c r="C99" s="386"/>
      <c r="D99" s="177">
        <f>SUM(D55:D95)</f>
        <v>44542</v>
      </c>
      <c r="E99" s="216" t="s">
        <v>150</v>
      </c>
      <c r="F99" s="216" t="s">
        <v>150</v>
      </c>
      <c r="G99" s="216" t="s">
        <v>150</v>
      </c>
      <c r="H99" s="179"/>
      <c r="J99" s="180"/>
      <c r="K99" s="98"/>
      <c r="L99" s="384"/>
      <c r="M99" s="385"/>
    </row>
    <row r="100" spans="2:13" x14ac:dyDescent="0.25">
      <c r="E100" s="181">
        <f>SUM(E55:E95)+E97</f>
        <v>4576599.9999999991</v>
      </c>
      <c r="F100" s="181">
        <f>SUM(F55:F95)+F97+F98</f>
        <v>7907950</v>
      </c>
      <c r="G100" s="182">
        <f>SUM(G55:G95)+G97</f>
        <v>12484550.000000002</v>
      </c>
    </row>
    <row r="101" spans="2:13" ht="15.75" thickBot="1" x14ac:dyDescent="0.3">
      <c r="K101" s="95"/>
    </row>
    <row r="102" spans="2:13" ht="15.75" thickBot="1" x14ac:dyDescent="0.3">
      <c r="E102" s="183">
        <v>2027</v>
      </c>
      <c r="K102" s="95"/>
    </row>
    <row r="103" spans="2:13" ht="15.75" x14ac:dyDescent="0.25">
      <c r="B103" s="387" t="s">
        <v>151</v>
      </c>
      <c r="C103" s="388"/>
      <c r="D103" s="389"/>
      <c r="E103" s="184">
        <f>H36</f>
        <v>12484550</v>
      </c>
      <c r="F103" s="185"/>
      <c r="G103" s="186"/>
      <c r="H103" s="187"/>
    </row>
    <row r="104" spans="2:13" ht="33" customHeight="1" thickBot="1" x14ac:dyDescent="0.3">
      <c r="B104" s="390"/>
      <c r="C104" s="391"/>
      <c r="D104" s="392"/>
      <c r="E104" s="188" t="s">
        <v>152</v>
      </c>
      <c r="F104" s="185"/>
      <c r="G104" s="186"/>
      <c r="H104" s="187"/>
      <c r="I104" s="186"/>
    </row>
    <row r="105" spans="2:13" ht="16.5" thickBot="1" x14ac:dyDescent="0.3">
      <c r="B105" s="393" t="s">
        <v>153</v>
      </c>
      <c r="C105" s="394"/>
      <c r="D105" s="395"/>
      <c r="E105" s="189">
        <f>H96</f>
        <v>4128700</v>
      </c>
      <c r="F105" s="190" t="s">
        <v>154</v>
      </c>
      <c r="G105" s="191" t="s">
        <v>155</v>
      </c>
      <c r="H105" s="192">
        <f>E105-J105</f>
        <v>-80900</v>
      </c>
      <c r="J105" s="95">
        <v>4209600</v>
      </c>
      <c r="K105" s="95"/>
    </row>
    <row r="106" spans="2:13" ht="16.5" thickBot="1" x14ac:dyDescent="0.3">
      <c r="B106" s="380" t="s">
        <v>156</v>
      </c>
      <c r="C106" s="381"/>
      <c r="D106" s="382"/>
      <c r="E106" s="193">
        <f>S35</f>
        <v>7098550</v>
      </c>
      <c r="F106" s="194" t="s">
        <v>154</v>
      </c>
      <c r="G106" s="176" t="s">
        <v>172</v>
      </c>
      <c r="H106" s="195">
        <f>E106-J106</f>
        <v>-153750</v>
      </c>
      <c r="J106" s="95">
        <v>7252300</v>
      </c>
    </row>
    <row r="107" spans="2:13" ht="16.5" thickBot="1" x14ac:dyDescent="0.3">
      <c r="B107" s="380" t="s">
        <v>157</v>
      </c>
      <c r="C107" s="381"/>
      <c r="D107" s="382"/>
      <c r="E107" s="193">
        <f>Q35</f>
        <v>3407850</v>
      </c>
      <c r="F107" s="194" t="s">
        <v>154</v>
      </c>
      <c r="G107" s="176" t="s">
        <v>172</v>
      </c>
      <c r="H107" s="196">
        <f>E107-J107</f>
        <v>153750</v>
      </c>
      <c r="J107" s="95">
        <v>3254100</v>
      </c>
    </row>
    <row r="108" spans="2:13" x14ac:dyDescent="0.25">
      <c r="K108" s="106"/>
    </row>
  </sheetData>
  <mergeCells count="135">
    <mergeCell ref="B106:D106"/>
    <mergeCell ref="B107:D107"/>
    <mergeCell ref="H97:H98"/>
    <mergeCell ref="L98:L99"/>
    <mergeCell ref="M98:M99"/>
    <mergeCell ref="B99:C99"/>
    <mergeCell ref="B103:D104"/>
    <mergeCell ref="B105:D105"/>
    <mergeCell ref="B95:C95"/>
    <mergeCell ref="B96:C96"/>
    <mergeCell ref="B97:C98"/>
    <mergeCell ref="D97:D98"/>
    <mergeCell ref="E97:E98"/>
    <mergeCell ref="G97:G98"/>
    <mergeCell ref="B89:C89"/>
    <mergeCell ref="B90:C90"/>
    <mergeCell ref="B91:C91"/>
    <mergeCell ref="B92:C92"/>
    <mergeCell ref="B93:C93"/>
    <mergeCell ref="B94:C94"/>
    <mergeCell ref="B83:C83"/>
    <mergeCell ref="B84:C84"/>
    <mergeCell ref="J84:J85"/>
    <mergeCell ref="K84:L85"/>
    <mergeCell ref="B85:C85"/>
    <mergeCell ref="B86:C86"/>
    <mergeCell ref="J86:J90"/>
    <mergeCell ref="K86:L90"/>
    <mergeCell ref="B87:C87"/>
    <mergeCell ref="B88:C88"/>
    <mergeCell ref="B76:C76"/>
    <mergeCell ref="K76:L76"/>
    <mergeCell ref="B77:C77"/>
    <mergeCell ref="J77:J83"/>
    <mergeCell ref="K77:L83"/>
    <mergeCell ref="B78:C78"/>
    <mergeCell ref="B79:C79"/>
    <mergeCell ref="B80:C80"/>
    <mergeCell ref="B81:C81"/>
    <mergeCell ref="B82:C82"/>
    <mergeCell ref="B72:C72"/>
    <mergeCell ref="B73:C73"/>
    <mergeCell ref="K73:L73"/>
    <mergeCell ref="B74:C74"/>
    <mergeCell ref="K74:L74"/>
    <mergeCell ref="B75:C75"/>
    <mergeCell ref="K75:L75"/>
    <mergeCell ref="B67:C67"/>
    <mergeCell ref="B68:C68"/>
    <mergeCell ref="B69:C69"/>
    <mergeCell ref="B70:C70"/>
    <mergeCell ref="B71:C71"/>
    <mergeCell ref="J71:K71"/>
    <mergeCell ref="B61:C61"/>
    <mergeCell ref="B62:C62"/>
    <mergeCell ref="B63:C63"/>
    <mergeCell ref="B64:C64"/>
    <mergeCell ref="B65:C65"/>
    <mergeCell ref="B66:C66"/>
    <mergeCell ref="B58:C58"/>
    <mergeCell ref="J58:K58"/>
    <mergeCell ref="B59:C59"/>
    <mergeCell ref="J59:K59"/>
    <mergeCell ref="B60:C60"/>
    <mergeCell ref="J60:K60"/>
    <mergeCell ref="B51:L51"/>
    <mergeCell ref="B54:C54"/>
    <mergeCell ref="J54:K54"/>
    <mergeCell ref="B55:C55"/>
    <mergeCell ref="B56:C56"/>
    <mergeCell ref="B57:C57"/>
    <mergeCell ref="J57:K57"/>
    <mergeCell ref="J36:L36"/>
    <mergeCell ref="B44:E44"/>
    <mergeCell ref="B45:E45"/>
    <mergeCell ref="B46:E46"/>
    <mergeCell ref="B48:L49"/>
    <mergeCell ref="B50:M50"/>
    <mergeCell ref="B31:E32"/>
    <mergeCell ref="F31:H31"/>
    <mergeCell ref="F32:H32"/>
    <mergeCell ref="B33:E33"/>
    <mergeCell ref="F33:H33"/>
    <mergeCell ref="B34:I34"/>
    <mergeCell ref="B28:E28"/>
    <mergeCell ref="F28:H28"/>
    <mergeCell ref="B29:E29"/>
    <mergeCell ref="F29:H29"/>
    <mergeCell ref="B30:E30"/>
    <mergeCell ref="F30:H30"/>
    <mergeCell ref="B24:E25"/>
    <mergeCell ref="F24:H24"/>
    <mergeCell ref="F25:H25"/>
    <mergeCell ref="B26:E26"/>
    <mergeCell ref="F26:H26"/>
    <mergeCell ref="B27:E27"/>
    <mergeCell ref="F27:H27"/>
    <mergeCell ref="B19:E23"/>
    <mergeCell ref="F19:H19"/>
    <mergeCell ref="F20:H20"/>
    <mergeCell ref="F21:H21"/>
    <mergeCell ref="F22:H22"/>
    <mergeCell ref="F23:H23"/>
    <mergeCell ref="B14:E17"/>
    <mergeCell ref="F14:H14"/>
    <mergeCell ref="F15:H15"/>
    <mergeCell ref="F16:H16"/>
    <mergeCell ref="F17:H17"/>
    <mergeCell ref="B18:E18"/>
    <mergeCell ref="F18:H18"/>
    <mergeCell ref="B9:E13"/>
    <mergeCell ref="F9:H9"/>
    <mergeCell ref="F10:H10"/>
    <mergeCell ref="F11:H11"/>
    <mergeCell ref="F12:H12"/>
    <mergeCell ref="F13:H13"/>
    <mergeCell ref="R4:R5"/>
    <mergeCell ref="S4:S5"/>
    <mergeCell ref="B6:E6"/>
    <mergeCell ref="F6:H6"/>
    <mergeCell ref="B7:E8"/>
    <mergeCell ref="F7:H7"/>
    <mergeCell ref="F8:H8"/>
    <mergeCell ref="L4:L5"/>
    <mergeCell ref="M4:M5"/>
    <mergeCell ref="N4:N5"/>
    <mergeCell ref="O4:O5"/>
    <mergeCell ref="P4:P5"/>
    <mergeCell ref="Q4:Q5"/>
    <mergeCell ref="B2:J2"/>
    <mergeCell ref="B4:E5"/>
    <mergeCell ref="F4:H5"/>
    <mergeCell ref="I4:I5"/>
    <mergeCell ref="J4:J5"/>
    <mergeCell ref="K4:K5"/>
  </mergeCells>
  <pageMargins left="0.7" right="0.7" top="0.78740157499999996" bottom="0.78740157499999996" header="0.3" footer="0.3"/>
  <pageSetup paperSize="8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Příloha č. 1-2027 čisté</vt:lpstr>
      <vt:lpstr>Příloha č. 1-2027 se spoluúčast</vt:lpstr>
      <vt:lpstr>'Příloha č. 1-2027 čisté'!Oblast_tisku</vt:lpstr>
      <vt:lpstr>'Příloha č. 1-2027 se spoluúčast'!Oblast_tisku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Prchalová</dc:creator>
  <cp:lastModifiedBy>Marcela Prchalová</cp:lastModifiedBy>
  <dcterms:created xsi:type="dcterms:W3CDTF">2026-04-14T14:00:15Z</dcterms:created>
  <dcterms:modified xsi:type="dcterms:W3CDTF">2026-08-05T13:37:05Z</dcterms:modified>
</cp:coreProperties>
</file>